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firstSheet="3" activeTab="3"/>
  </bookViews>
  <sheets>
    <sheet name="Hist S and D" sheetId="1" r:id="rId1"/>
    <sheet name="Upland" sheetId="2" r:id="rId2"/>
    <sheet name="Curr Farm Inc" sheetId="3" r:id="rId3"/>
    <sheet name="Upland&amp;ELS breakout" sheetId="4" r:id="rId4"/>
  </sheets>
  <definedNames>
    <definedName name="\H">'Hist S and D'!$AJ$9:$AJ$9</definedName>
    <definedName name="\L">'Hist S and D'!$AJ$7:$AJ$7</definedName>
    <definedName name="\P">'Hist S and D'!$AJ$5:$AJ$5</definedName>
    <definedName name="1">'Upland'!$B$5:$M$54</definedName>
    <definedName name="1R" localSheetId="2">'Curr Farm Inc'!$G$6:$U$22</definedName>
    <definedName name="1R" localSheetId="1">'Upland'!$G$6:$U$26</definedName>
    <definedName name="2" localSheetId="2">'Curr Farm Inc'!$B$30:$I$94</definedName>
    <definedName name="2" localSheetId="0">'Hist S and D'!$B$34:$I$98</definedName>
    <definedName name="2" localSheetId="1">'Upland'!$B$34:$I$97</definedName>
    <definedName name="3" localSheetId="0">'Hist S and D'!$B$104:$I$135</definedName>
    <definedName name="3" localSheetId="1">'Upland'!$B$103:$I$141</definedName>
    <definedName name="4" localSheetId="0">'Hist S and D'!#REF!</definedName>
    <definedName name="4" localSheetId="1">'Upland'!$B$156:$I$193</definedName>
    <definedName name="5" localSheetId="0">'Hist S and D'!#REF!</definedName>
    <definedName name="5" localSheetId="1">'Upland'!$B$258:$I$295</definedName>
    <definedName name="6">'Hist S and D'!#REF!</definedName>
    <definedName name="COSTDATA">'Upland'!$B$94:$Q$128</definedName>
    <definedName name="COSTS">'Upland'!$B$223:$Q$290</definedName>
    <definedName name="CURRSD">'Upland'!$B$5:$J$54</definedName>
    <definedName name="CYLOANS">'Upland'!$B$130:$Q$162</definedName>
    <definedName name="ELD">#REF!</definedName>
    <definedName name="ELS">#REF!</definedName>
    <definedName name="ELSOUT">#REF!</definedName>
    <definedName name="FMINC">'Hist S and D'!$T$1:$T$3</definedName>
    <definedName name="FMINC">'Curr Farm Inc'!$G$4:$V$47</definedName>
    <definedName name="FORGRPH">#REF!</definedName>
    <definedName name="FYLOANS">'Upland'!$B$130:$Q$162</definedName>
    <definedName name="HIST">'Hist S and D'!$D$5:$P$59</definedName>
    <definedName name="LOANOUT">'Upland'!$B$164:$Q$221</definedName>
    <definedName name="PG1A" localSheetId="2">'Curr Farm Inc'!$H$6:$P$17</definedName>
    <definedName name="PG1A" localSheetId="1">'Upland'!$H$6:$P$17</definedName>
    <definedName name="PG4">'Upland'!$D$129:$Q$162</definedName>
    <definedName name="PG5">'Upland'!$D$164:$Q$221</definedName>
    <definedName name="PG6" localSheetId="0">'Hist S and D'!#REF!</definedName>
    <definedName name="PG6" localSheetId="1">'Upland'!$D$327:$AE$364</definedName>
    <definedName name="_xlnm.Print_Area" localSheetId="1">'Upland'!$F$4:$S$54</definedName>
    <definedName name="_xlnm.Print_Titles" localSheetId="1">'Upland'!$A:$A,'Upland'!$1:$3</definedName>
    <definedName name="TOTOUT">'Upland'!$B$223:$Q$291</definedName>
    <definedName name="UPLAND">'Upland'!$B$5:$P$54</definedName>
    <definedName name="UPLSU">#REF!</definedName>
    <definedName name="USPRODGRPH">#REF!</definedName>
    <definedName name="WORLD">#REF!</definedName>
    <definedName name="WORLD">#REF!</definedName>
    <definedName name="WRLDGRPH">#REF!</definedName>
  </definedNames>
  <calcPr fullCalcOnLoad="1"/>
</workbook>
</file>

<file path=xl/sharedStrings.xml><?xml version="1.0" encoding="utf-8"?>
<sst xmlns="http://schemas.openxmlformats.org/spreadsheetml/2006/main" count="817" uniqueCount="436">
  <si>
    <t>||</t>
  </si>
  <si>
    <t xml:space="preserve">               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</si>
  <si>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</si>
  <si>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</si>
  <si>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</si>
  <si>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</si>
  <si>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</si>
  <si>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</si>
  <si>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</si>
  <si>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</si>
  <si>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</si>
  <si>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</si>
  <si>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</si>
  <si>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</si>
  <si>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</si>
  <si>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</si>
  <si>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</si>
  <si>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OBRA S:U Target--&gt;</t>
  </si>
  <si>
    <t>=</t>
  </si>
  <si>
    <t>=======||</t>
  </si>
  <si>
    <t xml:space="preserve">     NONPARTCIPANT NET RETURNS</t>
  </si>
  <si>
    <t xml:space="preserve">  (ARP/PLD)</t>
  </si>
  <si>
    <t>(15% ARP)</t>
  </si>
  <si>
    <t>(20/5/30)</t>
  </si>
  <si>
    <t>(25% ARP)</t>
  </si>
  <si>
    <t>(20/10)</t>
  </si>
  <si>
    <t>Nonparticipant</t>
  </si>
  <si>
    <t>Participant</t>
  </si>
  <si>
    <t xml:space="preserve">  PART/ARP</t>
  </si>
  <si>
    <t xml:space="preserve">  PART/PLD</t>
  </si>
  <si>
    <t>ACREAGE</t>
  </si>
  <si>
    <t>ACREAGE (THOUSAND)</t>
  </si>
  <si>
    <t xml:space="preserve">  Planted acreage (acres)</t>
  </si>
  <si>
    <t xml:space="preserve">  REPORTED BASE</t>
  </si>
  <si>
    <t xml:space="preserve">  Conservation acreage (acres)</t>
  </si>
  <si>
    <t>-</t>
  </si>
  <si>
    <t xml:space="preserve">  TOTAL PLANTED + IDLED</t>
  </si>
  <si>
    <t xml:space="preserve">  ALLOTED/NPA</t>
  </si>
  <si>
    <t>YIELDS</t>
  </si>
  <si>
    <t xml:space="preserve">       PARTICIPANT NET RETURNS</t>
  </si>
  <si>
    <t xml:space="preserve">  CRP</t>
  </si>
  <si>
    <t xml:space="preserve">  50/92 50/85 w/unpaid acres</t>
  </si>
  <si>
    <t xml:space="preserve">  0/92 PREV.PLTD./RED.YLD.</t>
  </si>
  <si>
    <t xml:space="preserve">  ARP </t>
  </si>
  <si>
    <t xml:space="preserve">  Harvested yield (lbs./acre)</t>
  </si>
  <si>
    <t xml:space="preserve">  REDUCED-PLD</t>
  </si>
  <si>
    <t xml:space="preserve">  PERMITTED/COTTON BASE</t>
  </si>
  <si>
    <t xml:space="preserve">  PAYMENT ACRES</t>
  </si>
  <si>
    <t xml:space="preserve"> </t>
  </si>
  <si>
    <t xml:space="preserve">  ACRES ELIG FOR LOAN</t>
  </si>
  <si>
    <t xml:space="preserve">  PLTD PART</t>
  </si>
  <si>
    <t>ASSUMED PRICES</t>
  </si>
  <si>
    <t xml:space="preserve">  PLTD NONPART</t>
  </si>
  <si>
    <t xml:space="preserve">  Cotton lint ($/lb.)</t>
  </si>
  <si>
    <t xml:space="preserve">  UPL PLTD ON OTHR CROPS</t>
  </si>
  <si>
    <t xml:space="preserve">  OTHER PLTD ON UPL BASE</t>
  </si>
  <si>
    <t xml:space="preserve">  PLANTED</t>
  </si>
  <si>
    <t xml:space="preserve">  Cottonseed ($/lb. of lint) 1</t>
  </si>
  <si>
    <t xml:space="preserve">  HARVESTED</t>
  </si>
  <si>
    <t>========|</t>
  </si>
  <si>
    <t xml:space="preserve">  Deficiency payment rate ($/lb.) 2</t>
  </si>
  <si>
    <t xml:space="preserve"> YIELD(LB/HA)</t>
  </si>
  <si>
    <t>|</t>
  </si>
  <si>
    <t xml:space="preserve"> PROGRAM YIELD</t>
  </si>
  <si>
    <t>SUPPLY/USE T.480 bales</t>
  </si>
  <si>
    <t xml:space="preserve">  Variable costs ($/acre)</t>
  </si>
  <si>
    <t xml:space="preserve">  BEGINNING STOCKS 8/1</t>
  </si>
  <si>
    <t xml:space="preserve">  Cost to maintain idled acreage ($/acre)</t>
  </si>
  <si>
    <t xml:space="preserve">  PRODUCTION</t>
  </si>
  <si>
    <t xml:space="preserve">  IMPORTS</t>
  </si>
  <si>
    <t>INCOME</t>
  </si>
  <si>
    <t xml:space="preserve"> TOTAL SUPPLY</t>
  </si>
  <si>
    <t xml:space="preserve">  Production value ($)</t>
  </si>
  <si>
    <t xml:space="preserve">  Seed value ($)</t>
  </si>
  <si>
    <t xml:space="preserve">  MILL USE</t>
  </si>
  <si>
    <t xml:space="preserve">  Deficiency payment ($) 3</t>
  </si>
  <si>
    <t xml:space="preserve">  EXPORTS</t>
  </si>
  <si>
    <t xml:space="preserve">  Total income ($)</t>
  </si>
  <si>
    <t xml:space="preserve"> TOTAL USE</t>
  </si>
  <si>
    <t>COSTS</t>
  </si>
  <si>
    <t xml:space="preserve">  UNACCOUNTED </t>
  </si>
  <si>
    <t xml:space="preserve">  Production costs ($)</t>
  </si>
  <si>
    <t xml:space="preserve">  ENDING STOCKS 7/31</t>
  </si>
  <si>
    <t xml:space="preserve">  Total costs ($)</t>
  </si>
  <si>
    <t xml:space="preserve">   CCC INVENTORY</t>
  </si>
  <si>
    <t xml:space="preserve">   CCC LOANS OUT</t>
  </si>
  <si>
    <t>NET RETURN ($)</t>
  </si>
  <si>
    <t xml:space="preserve">   FREE STOCKS</t>
  </si>
  <si>
    <t xml:space="preserve">  STOCKS/USE</t>
  </si>
  <si>
    <t xml:space="preserve">  TARGET PRICE</t>
  </si>
  <si>
    <t xml:space="preserve">  CAL YR AVG PRICE</t>
  </si>
  <si>
    <t xml:space="preserve">  DEFIC PAY RATE-GROSS</t>
  </si>
  <si>
    <t xml:space="preserve">  LOAN DEF PAY RATE</t>
  </si>
  <si>
    <t xml:space="preserve">  DISAS PAY RATE</t>
  </si>
  <si>
    <t xml:space="preserve">  DIVER PAY RATE</t>
  </si>
  <si>
    <t xml:space="preserve">  LOAN RATE</t>
  </si>
  <si>
    <t xml:space="preserve">  AVG LOAN REPAY RATE</t>
  </si>
  <si>
    <t xml:space="preserve">  EFF LOAN REPAY RATE</t>
  </si>
  <si>
    <t xml:space="preserve">  SEASON AVG PRICE</t>
  </si>
  <si>
    <t>dappd</t>
  </si>
  <si>
    <t>\Y</t>
  </si>
  <si>
    <t>/ppcaaooubcdaps1~mt0~mb0~ml10~mr134~p80~s\027&amp;l8D\027(s0p16.66H~qrdappd1~gpaobcdaps2~qrdappd2~gpaq</t>
  </si>
  <si>
    <t xml:space="preserve">  MKT YR AVG PRICE</t>
  </si>
  <si>
    <t>(lazer)</t>
  </si>
  <si>
    <t xml:space="preserve">  CURVE CALC MKT YR</t>
  </si>
  <si>
    <t xml:space="preserve">  FORMULA AWP </t>
  </si>
  <si>
    <t xml:space="preserve">  115% LOAN RATE</t>
  </si>
  <si>
    <t xml:space="preserve">  ADJUSTED AWP (Step 1)</t>
  </si>
  <si>
    <t>Minnie Tom</t>
  </si>
  <si>
    <t>\Z</t>
  </si>
  <si>
    <t>/ppcaaooubc1l~brTOP~mt0~mb0~ml5~mr132~p88~s\027&amp;8D\027(s0p16.66H~qr1m~gpa</t>
  </si>
  <si>
    <t xml:space="preserve">  AVG COARSE COUNT</t>
  </si>
  <si>
    <t>obc3s~qr3d~gpaobc4s~qr4d~gpaobc5s~qr5d~gpaobc6s~qr6d~gpaq</t>
  </si>
  <si>
    <t>price/loan</t>
  </si>
  <si>
    <t>THOUSAND DOLLARS</t>
  </si>
  <si>
    <t xml:space="preserve">  DIVERSION PAYMENTS</t>
  </si>
  <si>
    <t>Upland Cotton</t>
  </si>
  <si>
    <t>August 1992 Numbers</t>
  </si>
  <si>
    <t xml:space="preserve">  DEF/CONT PYMTS-GROSS</t>
  </si>
  <si>
    <t>(THOUSAND $)</t>
  </si>
  <si>
    <t xml:space="preserve">  DEF/CONT PYMTS-NET</t>
  </si>
  <si>
    <t xml:space="preserve">  LOAN DEF PAYMENTS</t>
  </si>
  <si>
    <t xml:space="preserve">  DISASTER PAYMENTS</t>
  </si>
  <si>
    <t>Table 1</t>
  </si>
  <si>
    <t>1992/93</t>
  </si>
  <si>
    <t xml:space="preserve">  CRP PAYMENTS</t>
  </si>
  <si>
    <t xml:space="preserve">  FARM VALUE</t>
  </si>
  <si>
    <t xml:space="preserve">  SEED VALUE</t>
  </si>
  <si>
    <t>Additional 10% Advance</t>
  </si>
  <si>
    <t xml:space="preserve">  MKT LOAN GAIN/CROP</t>
  </si>
  <si>
    <t xml:space="preserve"> ADJ GROSS INCOME</t>
  </si>
  <si>
    <t xml:space="preserve"> STEP 2 PMTS/FY CERTS</t>
  </si>
  <si>
    <t xml:space="preserve"> STEP 2 FY $ (calc)</t>
  </si>
  <si>
    <t xml:space="preserve"> STEP 2 FY $ (capped)</t>
  </si>
  <si>
    <t>NET RETURNS</t>
  </si>
  <si>
    <t>Market income</t>
  </si>
  <si>
    <t>Program income</t>
  </si>
  <si>
    <t>Total income</t>
  </si>
  <si>
    <t xml:space="preserve">  COSTS/$:</t>
  </si>
  <si>
    <t>Table 2</t>
  </si>
  <si>
    <t>1993/94</t>
  </si>
  <si>
    <t xml:space="preserve">   VAR COSTS/ACRE</t>
  </si>
  <si>
    <t>option 2</t>
  </si>
  <si>
    <t xml:space="preserve">   VAR COST OF COVER</t>
  </si>
  <si>
    <t>option 1</t>
  </si>
  <si>
    <t>10% ARP</t>
  </si>
  <si>
    <t>option 3</t>
  </si>
  <si>
    <t xml:space="preserve">  MIL. $:</t>
  </si>
  <si>
    <t xml:space="preserve">   PLTD * VAR</t>
  </si>
  <si>
    <t xml:space="preserve">40% Advance  </t>
  </si>
  <si>
    <t xml:space="preserve">   CUA * VAR</t>
  </si>
  <si>
    <t xml:space="preserve">50% Advance  </t>
  </si>
  <si>
    <t xml:space="preserve">   TOT VAR COSTS</t>
  </si>
  <si>
    <t>FRAD/MTHM/8-17-92</t>
  </si>
  <si>
    <t xml:space="preserve">   TOTAL NET RETURNS</t>
  </si>
  <si>
    <t>TOTAL NET RETURNS</t>
  </si>
  <si>
    <t>divided by (PLTD + CUA)=</t>
  </si>
  <si>
    <t xml:space="preserve">   NET RETURN/ACRE($)</t>
  </si>
  <si>
    <t xml:space="preserve">    (excludes CRP)</t>
  </si>
  <si>
    <t xml:space="preserve">Market </t>
  </si>
  <si>
    <t>Total</t>
  </si>
  <si>
    <t>PL 480</t>
  </si>
  <si>
    <t xml:space="preserve">  THOUS BALES</t>
  </si>
  <si>
    <t xml:space="preserve">  ARP %</t>
  </si>
  <si>
    <t xml:space="preserve">  PLD %</t>
  </si>
  <si>
    <t xml:space="preserve">  CLD %</t>
  </si>
  <si>
    <t xml:space="preserve">  PIK %</t>
  </si>
  <si>
    <t xml:space="preserve"> SPOT MKT. AVG.</t>
  </si>
  <si>
    <t xml:space="preserve"> % of farm price</t>
  </si>
  <si>
    <t xml:space="preserve"> Proj. 90% NE</t>
  </si>
  <si>
    <t>PAYMENT &amp; INCOME FACTORS</t>
  </si>
  <si>
    <t xml:space="preserve">  PROGRAM YIELD</t>
  </si>
  <si>
    <t xml:space="preserve">  TOT GROSS PAYMENTS</t>
  </si>
  <si>
    <t xml:space="preserve">  DEF. PYMTS-LIMIT</t>
  </si>
  <si>
    <t xml:space="preserve">  DIV. PYMTS(+ PIK VALUE)</t>
  </si>
  <si>
    <t xml:space="preserve">  RED. FACTOR-OVERALL</t>
  </si>
  <si>
    <t xml:space="preserve">  AMT. OF REDUCTION</t>
  </si>
  <si>
    <t xml:space="preserve">  SEED($/TON)</t>
  </si>
  <si>
    <t xml:space="preserve">  SEED ($/LB OF LINT)</t>
  </si>
  <si>
    <t>CRP PAYMENTS</t>
  </si>
  <si>
    <t xml:space="preserve">  RENTAL RATE</t>
  </si>
  <si>
    <t xml:space="preserve">  COST SHARE RATE</t>
  </si>
  <si>
    <t xml:space="preserve">    TOTAL PAYMENTS</t>
  </si>
  <si>
    <t xml:space="preserve">    (1000 bales)</t>
  </si>
  <si>
    <t xml:space="preserve">    Total production</t>
  </si>
  <si>
    <t xml:space="preserve">    Elig. production</t>
  </si>
  <si>
    <t xml:space="preserve">    Farm price/loan</t>
  </si>
  <si>
    <t xml:space="preserve">    Loan deficiency</t>
  </si>
  <si>
    <t xml:space="preserve">    Loans made</t>
  </si>
  <si>
    <t xml:space="preserve">    % of production</t>
  </si>
  <si>
    <t xml:space="preserve">    Inventory</t>
  </si>
  <si>
    <t xml:space="preserve">      Total</t>
  </si>
  <si>
    <t xml:space="preserve">    Current crop</t>
  </si>
  <si>
    <t xml:space="preserve">  Ending Balances:</t>
  </si>
  <si>
    <t xml:space="preserve">    Prior Crop(plug)</t>
  </si>
  <si>
    <t xml:space="preserve">    Cert. redemptions:</t>
  </si>
  <si>
    <t xml:space="preserve">     Prior crop</t>
  </si>
  <si>
    <t xml:space="preserve">     Current crop</t>
  </si>
  <si>
    <t xml:space="preserve">    Cash redemptions:</t>
  </si>
  <si>
    <t xml:space="preserve">    Total redemptions</t>
  </si>
  <si>
    <t xml:space="preserve">   Forfeitures:</t>
  </si>
  <si>
    <t xml:space="preserve"> INVENTORY ACTIVITY</t>
  </si>
  <si>
    <t xml:space="preserve">   Beginning inventory</t>
  </si>
  <si>
    <t xml:space="preserve">   Inv. sold</t>
  </si>
  <si>
    <t xml:space="preserve">  NET LENDING</t>
  </si>
  <si>
    <t xml:space="preserve">    Loans repaid prior</t>
  </si>
  <si>
    <t xml:space="preserve">    Loans repaid-current</t>
  </si>
  <si>
    <t xml:space="preserve">      Total loans repaid</t>
  </si>
  <si>
    <t xml:space="preserve">      NET LENDING</t>
  </si>
  <si>
    <t xml:space="preserve"> Carrying costs(quantity):</t>
  </si>
  <si>
    <t xml:space="preserve">  Cash red., any month:</t>
  </si>
  <si>
    <t xml:space="preserve">   Current</t>
  </si>
  <si>
    <t xml:space="preserve">   Prior</t>
  </si>
  <si>
    <t xml:space="preserve">  Cert. red., 1-10</t>
  </si>
  <si>
    <t xml:space="preserve">  Cert. red., 11-18</t>
  </si>
  <si>
    <t xml:space="preserve">  Forfeited</t>
  </si>
  <si>
    <t xml:space="preserve">    Total=loans made</t>
  </si>
  <si>
    <t xml:space="preserve">  CARRYING CHARGES</t>
  </si>
  <si>
    <t xml:space="preserve">    Rates:</t>
  </si>
  <si>
    <t xml:space="preserve">     Insured storage</t>
  </si>
  <si>
    <t xml:space="preserve">     Uninsured storage</t>
  </si>
  <si>
    <t xml:space="preserve">     Avg. interest rate</t>
  </si>
  <si>
    <t xml:space="preserve">    Under loan:</t>
  </si>
  <si>
    <t xml:space="preserve">      Cert. stor. expense</t>
  </si>
  <si>
    <t xml:space="preserve">      Cash red-prior:(9)</t>
  </si>
  <si>
    <t xml:space="preserve">        Full charges-cts.</t>
  </si>
  <si>
    <t xml:space="preserve">        Factor</t>
  </si>
  <si>
    <t xml:space="preserve">        Amount</t>
  </si>
  <si>
    <t xml:space="preserve">      Cash red.-curr.:(6)</t>
  </si>
  <si>
    <t xml:space="preserve">        Storage only</t>
  </si>
  <si>
    <t xml:space="preserve">      Cert. red., 1-10:</t>
  </si>
  <si>
    <t xml:space="preserve">       (interest &amp; storage)</t>
  </si>
  <si>
    <t xml:space="preserve">      Cert. red., 11-18:</t>
  </si>
  <si>
    <t xml:space="preserve">       Storage</t>
  </si>
  <si>
    <t xml:space="preserve">       Interest</t>
  </si>
  <si>
    <t xml:space="preserve">      Cont. loans</t>
  </si>
  <si>
    <t xml:space="preserve">      Forfeited:</t>
  </si>
  <si>
    <t xml:space="preserve">        Total/loans</t>
  </si>
  <si>
    <t xml:space="preserve">    In inventory:</t>
  </si>
  <si>
    <t xml:space="preserve">      Forf.-84</t>
  </si>
  <si>
    <t xml:space="preserve">      Forf.-prior</t>
  </si>
  <si>
    <t xml:space="preserve">      Cont. inventory</t>
  </si>
  <si>
    <t xml:space="preserve">       Total/inventory</t>
  </si>
  <si>
    <t xml:space="preserve">     TOTAL CHARGES</t>
  </si>
  <si>
    <t>TOTAL OUTLAYS-</t>
  </si>
  <si>
    <t xml:space="preserve">      LOAN PROGRAM</t>
  </si>
  <si>
    <t>CCC OUTLAY SUMMARY</t>
  </si>
  <si>
    <t>(1,000 dollars)</t>
  </si>
  <si>
    <t xml:space="preserve">  CASH OUTLAYS:</t>
  </si>
  <si>
    <t xml:space="preserve">    1984 Deficiency</t>
  </si>
  <si>
    <t xml:space="preserve">    1985 Diversion</t>
  </si>
  <si>
    <t xml:space="preserve">    1985 Deficiency</t>
  </si>
  <si>
    <t xml:space="preserve">    1986 Deficiency</t>
  </si>
  <si>
    <t xml:space="preserve">    1986 Loan deficiency</t>
  </si>
  <si>
    <t xml:space="preserve">    1987 Deficiency</t>
  </si>
  <si>
    <t xml:space="preserve">    1987 Loan Deficiency</t>
  </si>
  <si>
    <t xml:space="preserve">    1988 Deficiency</t>
  </si>
  <si>
    <t xml:space="preserve">    1988 Disaster Refunds</t>
  </si>
  <si>
    <t xml:space="preserve">    1988 Loan Deficiency</t>
  </si>
  <si>
    <t xml:space="preserve">    1989 Deficiency</t>
  </si>
  <si>
    <t xml:space="preserve">    1989 Disaster Refunds</t>
  </si>
  <si>
    <t xml:space="preserve">    1989 Loan Deficiency</t>
  </si>
  <si>
    <t xml:space="preserve">    1989 Diversion</t>
  </si>
  <si>
    <t xml:space="preserve">    1990 Deficiency</t>
  </si>
  <si>
    <t xml:space="preserve">    1990 Loan Deficiency</t>
  </si>
  <si>
    <t xml:space="preserve">    1991 Deficiency</t>
  </si>
  <si>
    <t xml:space="preserve">    1991 Loan Deficiency</t>
  </si>
  <si>
    <t xml:space="preserve">    1992 Deficiency</t>
  </si>
  <si>
    <t xml:space="preserve">    1992 Loan Deficiency</t>
  </si>
  <si>
    <t xml:space="preserve">    1993 Deficiency</t>
  </si>
  <si>
    <t xml:space="preserve">    1993 Loan Deficiency</t>
  </si>
  <si>
    <t xml:space="preserve">    1994 Deficiency</t>
  </si>
  <si>
    <t xml:space="preserve">    1994 Loan Deficiency</t>
  </si>
  <si>
    <t xml:space="preserve">    1995 Deficiency</t>
  </si>
  <si>
    <t xml:space="preserve">    1995 Loan Deficiency</t>
  </si>
  <si>
    <t xml:space="preserve">    1996 Contract</t>
  </si>
  <si>
    <t xml:space="preserve">    1996 Loan Deficiency</t>
  </si>
  <si>
    <t xml:space="preserve">    1997 Contract</t>
  </si>
  <si>
    <t xml:space="preserve">    1997 Loan Deficiency</t>
  </si>
  <si>
    <t xml:space="preserve">    1998 Contract</t>
  </si>
  <si>
    <t xml:space="preserve">    1998 Loan Deficiency</t>
  </si>
  <si>
    <t xml:space="preserve">    1999 Contract</t>
  </si>
  <si>
    <t xml:space="preserve">    1999 Loan Deficiency</t>
  </si>
  <si>
    <t xml:space="preserve">    2000 Contract</t>
  </si>
  <si>
    <t xml:space="preserve">    2000 Loan Deficiency</t>
  </si>
  <si>
    <t xml:space="preserve">    2001 Contract</t>
  </si>
  <si>
    <t xml:space="preserve">    2001 Loan Deficiency</t>
  </si>
  <si>
    <t xml:space="preserve">    2002 Contract</t>
  </si>
  <si>
    <t xml:space="preserve">    2002 Loan Deficiency</t>
  </si>
  <si>
    <t xml:space="preserve">    2003 Contract</t>
  </si>
  <si>
    <t xml:space="preserve">    2003 Loan Deficiency</t>
  </si>
  <si>
    <t xml:space="preserve">    2004 Contract</t>
  </si>
  <si>
    <t xml:space="preserve">    2004 Loan Deficiency</t>
  </si>
  <si>
    <t xml:space="preserve">    2005 Contract</t>
  </si>
  <si>
    <t xml:space="preserve">    2005 Loan Deficiency</t>
  </si>
  <si>
    <t xml:space="preserve">    2006 Contract</t>
  </si>
  <si>
    <t xml:space="preserve">    2006 Loan Deficiency</t>
  </si>
  <si>
    <t xml:space="preserve">    Step 2 cash payments</t>
  </si>
  <si>
    <t xml:space="preserve">  Subtotal, Direct Pymts</t>
  </si>
  <si>
    <t xml:space="preserve">    Net lending</t>
  </si>
  <si>
    <t xml:space="preserve">    Storage/loans</t>
  </si>
  <si>
    <t xml:space="preserve">    Storage/inventory</t>
  </si>
  <si>
    <t xml:space="preserve">    Sale of Inventory</t>
  </si>
  <si>
    <t xml:space="preserve">    Miscellaneous</t>
  </si>
  <si>
    <t xml:space="preserve">  Subtotal, Loan Program</t>
  </si>
  <si>
    <t xml:space="preserve"> TOTAL CASH OUTLAYS</t>
  </si>
  <si>
    <t>FOR OFFICIAL USE ONLY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</si>
  <si>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</si>
  <si>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</si>
  <si>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</si>
  <si>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</si>
  <si>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</si>
  <si>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</si>
  <si>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</si>
  <si>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</si>
  <si>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</si>
  <si>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</si>
  <si>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</si>
  <si>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</si>
  <si>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</si>
  <si>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</si>
  <si>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</si>
  <si>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</si>
  <si>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</si>
  <si>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</si>
  <si>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</si>
  <si>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</si>
  <si>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</si>
  <si>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</si>
  <si>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</si>
  <si>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</si>
  <si>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</si>
  <si>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 xml:space="preserve">  PARTICIPATION RATE</t>
  </si>
  <si>
    <t xml:space="preserve">  BASE/CONTRACT ACRES</t>
  </si>
  <si>
    <t xml:space="preserve">  FLEX-UPL PLTD ON OTHR CROPS</t>
  </si>
  <si>
    <t xml:space="preserve">  FLEX-OTHER PLTD ON UPL BASE</t>
  </si>
  <si>
    <t xml:space="preserve"> PROGRAM YIELD-CCP</t>
  </si>
  <si>
    <t xml:space="preserve"> PROGRAM YIELD-FIXED</t>
  </si>
  <si>
    <t xml:space="preserve">  UNACCOUNTED (neg. LOSS)</t>
  </si>
  <si>
    <t xml:space="preserve">   CCC ACQUISITIONS</t>
  </si>
  <si>
    <t xml:space="preserve">  CCC SALES</t>
  </si>
  <si>
    <t xml:space="preserve">  CCC INVENTORY</t>
  </si>
  <si>
    <t xml:space="preserve">  DEF/CONT PAY RATE-GROSS</t>
  </si>
  <si>
    <t xml:space="preserve">  COUNTER-CYCLICAL PAYMENT</t>
  </si>
  <si>
    <t xml:space="preserve">  AWP=AVG LOAN REPAY RATE</t>
  </si>
  <si>
    <t>SAP + Mkt. loan diff.</t>
  </si>
  <si>
    <t>Above - loan rate</t>
  </si>
  <si>
    <t>COST DATA</t>
  </si>
  <si>
    <t xml:space="preserve">  COTTONSEED/LINT RATIO</t>
  </si>
  <si>
    <t>CROPYEAR LOANS&amp;BALANCES</t>
  </si>
  <si>
    <t>FISCAL YEAR LOAN ACTIVITY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</si>
  <si>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</si>
  <si>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</si>
  <si>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</si>
  <si>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</si>
  <si>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</si>
  <si>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</si>
  <si>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</si>
  <si>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</si>
  <si>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</si>
  <si>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</si>
  <si>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</si>
  <si>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</si>
  <si>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</si>
  <si>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 xml:space="preserve">   FY Carryin Balance</t>
  </si>
  <si>
    <t xml:space="preserve">   Loans made: Current</t>
  </si>
  <si>
    <t xml:space="preserve">                         Pre-Season</t>
  </si>
  <si>
    <t xml:space="preserve">                         Total Made</t>
  </si>
  <si>
    <t xml:space="preserve">     Write-offs</t>
  </si>
  <si>
    <t xml:space="preserve">          Pre-prior</t>
  </si>
  <si>
    <t xml:space="preserve">         Prior crop</t>
  </si>
  <si>
    <t xml:space="preserve">         Current crop</t>
  </si>
  <si>
    <t xml:space="preserve">         Pre-season</t>
  </si>
  <si>
    <t xml:space="preserve">    Total Cash Redeem</t>
  </si>
  <si>
    <t xml:space="preserve">     Pre-prior</t>
  </si>
  <si>
    <t xml:space="preserve">   Ending loan balance</t>
  </si>
  <si>
    <t xml:space="preserve">   Ending inventory</t>
  </si>
  <si>
    <t>FY-LOAN OUTLAYS (1000 $)</t>
  </si>
  <si>
    <t>FY92</t>
  </si>
  <si>
    <t>FY93</t>
  </si>
  <si>
    <t>FY94</t>
  </si>
  <si>
    <t>FY95</t>
  </si>
  <si>
    <t xml:space="preserve">    2007 Contract</t>
  </si>
  <si>
    <t xml:space="preserve">    2007 Loan Deficiency</t>
  </si>
  <si>
    <t xml:space="preserve">    2008 Contract</t>
  </si>
  <si>
    <t xml:space="preserve">    2008 Loan Deficiency</t>
  </si>
  <si>
    <t>Current Farm Income</t>
  </si>
  <si>
    <t>Upland Cotton Estimates:  November 2005</t>
  </si>
  <si>
    <t xml:space="preserve">  DEFIC/CONTRACT  PYMTS</t>
  </si>
  <si>
    <t xml:space="preserve">  BONUS CONTRACT PYMTS</t>
  </si>
  <si>
    <t xml:space="preserve">  COUNTER CYCLICAL PYMTS</t>
  </si>
  <si>
    <t xml:space="preserve">  CERT EXCH GAIN/CROP</t>
  </si>
  <si>
    <t xml:space="preserve">  COTTONSEED PAYMENTS</t>
  </si>
  <si>
    <t>exp value</t>
  </si>
  <si>
    <t>Market Income</t>
  </si>
  <si>
    <t>Program Income (excl. Step 2)</t>
  </si>
  <si>
    <t>Market inc./planted acres=inc/PA</t>
  </si>
  <si>
    <t>Production/planted acres=Y/PA</t>
  </si>
  <si>
    <t>Price</t>
  </si>
  <si>
    <t>Averages - mkt inc/PA</t>
  </si>
  <si>
    <t>Y/PA</t>
  </si>
  <si>
    <t>Net returns - market</t>
  </si>
  <si>
    <t>Net returns - total</t>
  </si>
  <si>
    <t>ELS Cotton:</t>
  </si>
  <si>
    <t>2004/05</t>
  </si>
  <si>
    <t>2005/06</t>
  </si>
  <si>
    <t>2006/07</t>
  </si>
  <si>
    <t>PRICES/PROGRAM RATES</t>
  </si>
  <si>
    <t>2016-17</t>
  </si>
  <si>
    <t>Item</t>
  </si>
  <si>
    <t>Upland Cotton:</t>
  </si>
  <si>
    <t xml:space="preserve">  Beginning  stocks</t>
  </si>
  <si>
    <t xml:space="preserve">  Production</t>
  </si>
  <si>
    <t xml:space="preserve">  Imports</t>
  </si>
  <si>
    <t xml:space="preserve">    Total supply</t>
  </si>
  <si>
    <t xml:space="preserve">  Domestic mill use</t>
  </si>
  <si>
    <t xml:space="preserve">  Exports</t>
  </si>
  <si>
    <t xml:space="preserve">    Total disappearance</t>
  </si>
  <si>
    <t xml:space="preserve">  Ending stocks</t>
  </si>
  <si>
    <t>Unit</t>
  </si>
  <si>
    <t xml:space="preserve">  Difference unacc.</t>
  </si>
  <si>
    <t>All Cotton:</t>
  </si>
  <si>
    <t>U.S. Department of Agriculture</t>
  </si>
  <si>
    <t xml:space="preserve">  Planted acres</t>
  </si>
  <si>
    <t xml:space="preserve">  Harvested acres</t>
  </si>
  <si>
    <t xml:space="preserve">  Yield/harvested acre</t>
  </si>
  <si>
    <t>1000 acres</t>
  </si>
  <si>
    <t>"</t>
  </si>
  <si>
    <t>lbs./acre</t>
  </si>
  <si>
    <t>1000 bales</t>
  </si>
  <si>
    <t>U.S. Upland, ELS, and All Cotton Estimates</t>
  </si>
  <si>
    <t>2007/08</t>
  </si>
  <si>
    <t>2017-18</t>
  </si>
  <si>
    <t>2018-19</t>
  </si>
  <si>
    <t>2008/09</t>
  </si>
  <si>
    <t>Upland Cotton Estimates-January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</si>
</sst>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%"/>
    <numFmt numFmtId="168" formatCode="dd\-mmm\-yy"/>
    <numFmt numFmtId="169" formatCode="hh:mm:ss\ AM/PM"/>
    <numFmt numFmtId="170" formatCode=";;"/>
    <numFmt numFmtId="171" formatCode="0.0000"/>
    <numFmt numFmtId="172" formatCode="#,##0.0_);\(#,##0.0\)"/>
    <numFmt numFmtId="173" formatCode="mm/dd/yy"/>
    <numFmt numFmtId="174" formatCode="[$-409]dddd\,\ mmmm\ dd\,\ yyyy"/>
    <numFmt numFmtId="175" formatCode="[$-409]mmmm\ d\,\ yyyy;@"/>
    <numFmt numFmtId="176" formatCode="m/d/yyyy;@"/>
    <numFmt numFmtId="177" formatCode="#,##0.0"/>
  </numFmts>
  <fonts count="12">
    <font>
      <sz val="14"/>
      <name val="SWISS"/>
      <family val="0"/>
    </font>
    <font>
      <b/>
      <sz val="15"/>
      <color indexed="8"/>
      <name val="SWISS"/>
      <family val="0"/>
    </font>
    <font>
      <sz val="14"/>
      <color indexed="8"/>
      <name val="SWISS"/>
      <family val="0"/>
    </font>
    <font>
      <b/>
      <sz val="14"/>
      <color indexed="8"/>
      <name val="SWISS"/>
      <family val="0"/>
    </font>
    <font>
      <sz val="13"/>
      <color indexed="8"/>
      <name val="SWISS"/>
      <family val="0"/>
    </font>
    <font>
      <u val="single"/>
      <sz val="14"/>
      <color indexed="8"/>
      <name val="SWISS"/>
      <family val="0"/>
    </font>
    <font>
      <sz val="8"/>
      <name val="SWISS"/>
      <family val="0"/>
    </font>
    <font>
      <b/>
      <sz val="14"/>
      <name val="SWISS"/>
      <family val="0"/>
    </font>
    <font>
      <u val="single"/>
      <sz val="12.2"/>
      <color indexed="12"/>
      <name val="SWISS"/>
      <family val="0"/>
    </font>
    <font>
      <u val="single"/>
      <sz val="12.2"/>
      <color indexed="36"/>
      <name val="SWISS"/>
      <family val="0"/>
    </font>
    <font>
      <b/>
      <u val="single"/>
      <sz val="12"/>
      <name val="SWISS"/>
      <family val="0"/>
    </font>
    <font>
      <b/>
      <sz val="12"/>
      <name val="SWIS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5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1" fontId="0" fillId="2" borderId="0">
      <alignment horizontal="right"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</cellStyleXfs>
  <cellXfs count="108">
    <xf numFmtId="1" fontId="0" fillId="2" borderId="0" xfId="0" applyNumberFormat="1" applyFill="1" applyAlignment="1">
      <alignment horizontal="right"/>
    </xf>
    <xf numFmtId="168" fontId="0" fillId="3" borderId="0" xfId="0" applyNumberFormat="1" applyAlignment="1">
      <alignment horizontal="right"/>
    </xf>
    <xf numFmtId="1" fontId="0" fillId="3" borderId="0" xfId="0" applyNumberFormat="1" applyAlignment="1">
      <alignment horizontal="right"/>
    </xf>
    <xf numFmtId="1" fontId="1" fillId="3" borderId="0" xfId="0" applyNumberFormat="1" applyFont="1" applyAlignment="1">
      <alignment/>
    </xf>
    <xf numFmtId="1" fontId="2" fillId="3" borderId="0" xfId="0" applyNumberFormat="1" applyFont="1" applyAlignment="1">
      <alignment/>
    </xf>
    <xf numFmtId="169" fontId="0" fillId="3" borderId="0" xfId="0" applyNumberFormat="1" applyAlignment="1">
      <alignment horizontal="right"/>
    </xf>
    <xf numFmtId="1" fontId="3" fillId="3" borderId="0" xfId="0" applyNumberFormat="1" applyFont="1" applyAlignment="1">
      <alignment/>
    </xf>
    <xf numFmtId="1" fontId="2" fillId="3" borderId="1" xfId="0" applyNumberFormat="1" applyFont="1" applyBorder="1" applyAlignment="1">
      <alignment/>
    </xf>
    <xf numFmtId="1" fontId="0" fillId="3" borderId="2" xfId="0" applyNumberFormat="1" applyBorder="1" applyAlignment="1">
      <alignment horizontal="right"/>
    </xf>
    <xf numFmtId="1" fontId="2" fillId="3" borderId="2" xfId="0" applyNumberFormat="1" applyFont="1" applyBorder="1" applyAlignment="1">
      <alignment/>
    </xf>
    <xf numFmtId="1" fontId="2" fillId="3" borderId="0" xfId="0" applyNumberFormat="1" applyFont="1" applyAlignment="1">
      <alignment horizontal="fill"/>
    </xf>
    <xf numFmtId="1" fontId="2" fillId="3" borderId="3" xfId="0" applyNumberFormat="1" applyFont="1" applyBorder="1" applyAlignment="1">
      <alignment/>
    </xf>
    <xf numFmtId="167" fontId="0" fillId="3" borderId="0" xfId="0" applyNumberFormat="1" applyAlignment="1">
      <alignment horizontal="right"/>
    </xf>
    <xf numFmtId="9" fontId="0" fillId="3" borderId="0" xfId="0" applyNumberFormat="1" applyAlignment="1">
      <alignment horizontal="right"/>
    </xf>
    <xf numFmtId="2" fontId="0" fillId="3" borderId="0" xfId="0" applyNumberFormat="1" applyAlignment="1">
      <alignment horizontal="right"/>
    </xf>
    <xf numFmtId="1" fontId="2" fillId="3" borderId="4" xfId="0" applyNumberFormat="1" applyFont="1" applyBorder="1" applyAlignment="1">
      <alignment/>
    </xf>
    <xf numFmtId="9" fontId="2" fillId="3" borderId="5" xfId="0" applyNumberFormat="1" applyFont="1" applyBorder="1" applyAlignment="1">
      <alignment/>
    </xf>
    <xf numFmtId="37" fontId="0" fillId="3" borderId="0" xfId="0" applyNumberFormat="1" applyAlignment="1">
      <alignment horizontal="right"/>
    </xf>
    <xf numFmtId="37" fontId="0" fillId="3" borderId="0" xfId="0" applyNumberFormat="1" applyAlignment="1">
      <alignment horizontal="right"/>
    </xf>
    <xf numFmtId="1" fontId="4" fillId="3" borderId="0" xfId="0" applyNumberFormat="1" applyFont="1" applyAlignment="1">
      <alignment/>
    </xf>
    <xf numFmtId="1" fontId="3" fillId="3" borderId="6" xfId="0" applyNumberFormat="1" applyFont="1" applyBorder="1" applyAlignment="1">
      <alignment/>
    </xf>
    <xf numFmtId="1" fontId="2" fillId="3" borderId="6" xfId="0" applyNumberFormat="1" applyFont="1" applyBorder="1" applyAlignment="1">
      <alignment/>
    </xf>
    <xf numFmtId="1" fontId="2" fillId="3" borderId="5" xfId="0" applyNumberFormat="1" applyFont="1" applyBorder="1" applyAlignment="1">
      <alignment/>
    </xf>
    <xf numFmtId="167" fontId="2" fillId="3" borderId="5" xfId="0" applyNumberFormat="1" applyFont="1" applyBorder="1" applyAlignment="1">
      <alignment/>
    </xf>
    <xf numFmtId="2" fontId="0" fillId="3" borderId="0" xfId="0" applyNumberFormat="1" applyAlignment="1">
      <alignment horizontal="right"/>
    </xf>
    <xf numFmtId="165" fontId="0" fillId="3" borderId="0" xfId="0" applyNumberFormat="1" applyAlignment="1">
      <alignment horizontal="right"/>
    </xf>
    <xf numFmtId="37" fontId="2" fillId="3" borderId="6" xfId="0" applyNumberFormat="1" applyFont="1" applyBorder="1" applyAlignment="1">
      <alignment/>
    </xf>
    <xf numFmtId="2" fontId="2" fillId="3" borderId="0" xfId="0" applyNumberFormat="1" applyFont="1" applyAlignment="1">
      <alignment horizontal="fill"/>
    </xf>
    <xf numFmtId="166" fontId="0" fillId="3" borderId="0" xfId="0" applyNumberFormat="1" applyAlignment="1">
      <alignment horizontal="right"/>
    </xf>
    <xf numFmtId="168" fontId="0" fillId="3" borderId="0" xfId="18" applyNumberFormat="1">
      <alignment/>
      <protection/>
    </xf>
    <xf numFmtId="0" fontId="0" fillId="3" borderId="0" xfId="18" applyNumberFormat="1">
      <alignment/>
      <protection/>
    </xf>
    <xf numFmtId="0" fontId="1" fillId="3" borderId="0" xfId="18" applyNumberFormat="1" applyFont="1">
      <alignment/>
      <protection/>
    </xf>
    <xf numFmtId="0" fontId="0" fillId="3" borderId="0" xfId="18" applyNumberFormat="1" applyAlignment="1">
      <alignment/>
      <protection/>
    </xf>
    <xf numFmtId="0" fontId="0" fillId="2" borderId="0" xfId="18" applyNumberFormat="1" applyFill="1">
      <alignment/>
      <protection/>
    </xf>
    <xf numFmtId="0" fontId="0" fillId="3" borderId="0" xfId="18" applyNumberFormat="1" applyFill="1" applyAlignment="1">
      <alignment/>
      <protection/>
    </xf>
    <xf numFmtId="0" fontId="0" fillId="3" borderId="0" xfId="18" applyNumberFormat="1" applyFill="1">
      <alignment/>
      <protection/>
    </xf>
    <xf numFmtId="0" fontId="0" fillId="3" borderId="5" xfId="18" applyNumberFormat="1" applyBorder="1">
      <alignment/>
      <protection/>
    </xf>
    <xf numFmtId="0" fontId="2" fillId="3" borderId="5" xfId="18" applyNumberFormat="1" applyFont="1" applyBorder="1" applyAlignment="1">
      <alignment horizontal="right"/>
      <protection/>
    </xf>
    <xf numFmtId="0" fontId="2" fillId="3" borderId="7" xfId="18" applyNumberFormat="1" applyFont="1" applyBorder="1" applyAlignment="1">
      <alignment horizontal="right"/>
      <protection/>
    </xf>
    <xf numFmtId="0" fontId="2" fillId="3" borderId="0" xfId="18" applyNumberFormat="1" applyFont="1" applyAlignment="1">
      <alignment horizontal="right"/>
      <protection/>
    </xf>
    <xf numFmtId="167" fontId="0" fillId="3" borderId="0" xfId="18" applyNumberFormat="1">
      <alignment/>
      <protection/>
    </xf>
    <xf numFmtId="167" fontId="0" fillId="3" borderId="6" xfId="18" applyNumberFormat="1" applyBorder="1">
      <alignment/>
      <protection/>
    </xf>
    <xf numFmtId="9" fontId="0" fillId="3" borderId="0" xfId="18" applyNumberFormat="1">
      <alignment/>
      <protection/>
    </xf>
    <xf numFmtId="0" fontId="3" fillId="3" borderId="0" xfId="18" applyNumberFormat="1" applyFont="1">
      <alignment/>
      <protection/>
    </xf>
    <xf numFmtId="37" fontId="0" fillId="3" borderId="0" xfId="18" applyNumberFormat="1">
      <alignment/>
      <protection/>
    </xf>
    <xf numFmtId="0" fontId="4" fillId="3" borderId="0" xfId="18" applyNumberFormat="1" applyFont="1">
      <alignment/>
      <protection/>
    </xf>
    <xf numFmtId="1" fontId="0" fillId="3" borderId="0" xfId="18" applyNumberFormat="1">
      <alignment/>
      <protection/>
    </xf>
    <xf numFmtId="37" fontId="0" fillId="3" borderId="5" xfId="18" applyNumberFormat="1" applyBorder="1">
      <alignment/>
      <protection/>
    </xf>
    <xf numFmtId="37" fontId="0" fillId="3" borderId="8" xfId="18" applyNumberFormat="1" applyBorder="1">
      <alignment/>
      <protection/>
    </xf>
    <xf numFmtId="0" fontId="3" fillId="3" borderId="6" xfId="18" applyNumberFormat="1" applyFont="1" applyBorder="1">
      <alignment/>
      <protection/>
    </xf>
    <xf numFmtId="0" fontId="0" fillId="3" borderId="6" xfId="18" applyNumberFormat="1" applyBorder="1">
      <alignment/>
      <protection/>
    </xf>
    <xf numFmtId="37" fontId="0" fillId="3" borderId="0" xfId="18" applyNumberFormat="1">
      <alignment/>
      <protection locked="0"/>
    </xf>
    <xf numFmtId="165" fontId="0" fillId="3" borderId="0" xfId="18" applyNumberFormat="1">
      <alignment/>
      <protection/>
    </xf>
    <xf numFmtId="164" fontId="0" fillId="3" borderId="0" xfId="18" applyNumberFormat="1">
      <alignment/>
      <protection/>
    </xf>
    <xf numFmtId="2" fontId="0" fillId="3" borderId="0" xfId="18" applyNumberFormat="1">
      <alignment/>
      <protection/>
    </xf>
    <xf numFmtId="0" fontId="0" fillId="3" borderId="8" xfId="18" applyNumberFormat="1" applyBorder="1">
      <alignment/>
      <protection/>
    </xf>
    <xf numFmtId="2" fontId="0" fillId="3" borderId="8" xfId="18" applyNumberFormat="1" applyBorder="1">
      <alignment/>
      <protection/>
    </xf>
    <xf numFmtId="2" fontId="0" fillId="3" borderId="5" xfId="18" applyNumberFormat="1" applyBorder="1">
      <alignment/>
      <protection/>
    </xf>
    <xf numFmtId="0" fontId="0" fillId="3" borderId="8" xfId="18" applyNumberFormat="1" applyBorder="1" applyAlignment="1">
      <alignment horizontal="fill"/>
      <protection/>
    </xf>
    <xf numFmtId="0" fontId="2" fillId="3" borderId="8" xfId="18" applyNumberFormat="1" applyFont="1" applyBorder="1" applyAlignment="1">
      <alignment horizontal="right"/>
      <protection/>
    </xf>
    <xf numFmtId="0" fontId="2" fillId="3" borderId="0" xfId="18" applyNumberFormat="1" applyFont="1" applyFill="1" applyAlignment="1">
      <alignment horizontal="right"/>
      <protection/>
    </xf>
    <xf numFmtId="2" fontId="0" fillId="3" borderId="0" xfId="18" applyNumberFormat="1" applyFill="1">
      <alignment/>
      <protection/>
    </xf>
    <xf numFmtId="0" fontId="0" fillId="3" borderId="0" xfId="18" applyNumberFormat="1" applyAlignment="1">
      <alignment horizontal="fill"/>
      <protection/>
    </xf>
    <xf numFmtId="166" fontId="0" fillId="3" borderId="0" xfId="18" applyNumberFormat="1">
      <alignment/>
      <protection/>
    </xf>
    <xf numFmtId="2" fontId="3" fillId="3" borderId="0" xfId="18" applyNumberFormat="1" applyFont="1">
      <alignment/>
      <protection/>
    </xf>
    <xf numFmtId="2" fontId="2" fillId="3" borderId="0" xfId="18" applyNumberFormat="1" applyFont="1" applyAlignment="1">
      <alignment horizontal="center"/>
      <protection/>
    </xf>
    <xf numFmtId="37" fontId="2" fillId="3" borderId="0" xfId="18" applyNumberFormat="1" applyFont="1" applyAlignment="1">
      <alignment horizontal="center"/>
      <protection/>
    </xf>
    <xf numFmtId="0" fontId="2" fillId="3" borderId="0" xfId="18" applyNumberFormat="1" applyFont="1" applyAlignment="1">
      <alignment horizontal="center"/>
      <protection/>
    </xf>
    <xf numFmtId="0" fontId="3" fillId="3" borderId="0" xfId="18" applyNumberFormat="1" applyFont="1" applyAlignment="1">
      <alignment horizontal="right"/>
      <protection/>
    </xf>
    <xf numFmtId="0" fontId="0" fillId="3" borderId="0" xfId="17" applyNumberFormat="1">
      <alignment/>
      <protection/>
    </xf>
    <xf numFmtId="0" fontId="0" fillId="3" borderId="0" xfId="17" applyNumberFormat="1" applyAlignment="1">
      <alignment/>
      <protection/>
    </xf>
    <xf numFmtId="0" fontId="1" fillId="3" borderId="0" xfId="17" applyNumberFormat="1" applyFont="1">
      <alignment/>
      <protection/>
    </xf>
    <xf numFmtId="0" fontId="0" fillId="3" borderId="0" xfId="17" applyNumberFormat="1" applyFill="1">
      <alignment/>
      <protection/>
    </xf>
    <xf numFmtId="0" fontId="0" fillId="4" borderId="0" xfId="17" applyNumberFormat="1" applyFill="1" applyAlignment="1">
      <alignment/>
      <protection/>
    </xf>
    <xf numFmtId="0" fontId="0" fillId="2" borderId="0" xfId="17" applyNumberFormat="1" applyFill="1">
      <alignment/>
      <protection/>
    </xf>
    <xf numFmtId="0" fontId="0" fillId="3" borderId="9" xfId="17" applyNumberFormat="1" applyBorder="1">
      <alignment/>
      <protection/>
    </xf>
    <xf numFmtId="0" fontId="2" fillId="3" borderId="2" xfId="17" applyNumberFormat="1" applyFont="1" applyBorder="1" applyAlignment="1">
      <alignment horizontal="right"/>
      <protection/>
    </xf>
    <xf numFmtId="0" fontId="2" fillId="3" borderId="10" xfId="17" applyNumberFormat="1" applyFont="1" applyBorder="1" applyAlignment="1">
      <alignment horizontal="right"/>
      <protection/>
    </xf>
    <xf numFmtId="0" fontId="3" fillId="3" borderId="11" xfId="17" applyNumberFormat="1" applyFont="1" applyBorder="1">
      <alignment/>
      <protection/>
    </xf>
    <xf numFmtId="37" fontId="0" fillId="3" borderId="0" xfId="17" applyNumberFormat="1">
      <alignment/>
      <protection/>
    </xf>
    <xf numFmtId="0" fontId="0" fillId="3" borderId="11" xfId="17" applyNumberFormat="1" applyBorder="1">
      <alignment/>
      <protection/>
    </xf>
    <xf numFmtId="37" fontId="0" fillId="3" borderId="11" xfId="17" applyNumberFormat="1" applyBorder="1">
      <alignment/>
      <protection/>
    </xf>
    <xf numFmtId="2" fontId="0" fillId="3" borderId="0" xfId="17" applyNumberFormat="1">
      <alignment/>
      <protection/>
    </xf>
    <xf numFmtId="164" fontId="0" fillId="3" borderId="0" xfId="17" applyNumberFormat="1">
      <alignment/>
      <protection/>
    </xf>
    <xf numFmtId="0" fontId="5" fillId="3" borderId="11" xfId="17" applyNumberFormat="1" applyFont="1" applyBorder="1">
      <alignment/>
      <protection/>
    </xf>
    <xf numFmtId="1" fontId="3" fillId="3" borderId="6" xfId="0" applyFont="1" applyBorder="1" applyAlignment="1">
      <alignment/>
    </xf>
    <xf numFmtId="1" fontId="2" fillId="3" borderId="0" xfId="0" applyFont="1" applyAlignment="1">
      <alignment/>
    </xf>
    <xf numFmtId="1" fontId="0" fillId="3" borderId="0" xfId="0" applyAlignment="1">
      <alignment horizontal="right"/>
    </xf>
    <xf numFmtId="1" fontId="3" fillId="3" borderId="0" xfId="0" applyFont="1" applyAlignment="1">
      <alignment/>
    </xf>
    <xf numFmtId="1" fontId="5" fillId="3" borderId="0" xfId="0" applyFont="1" applyAlignment="1">
      <alignment/>
    </xf>
    <xf numFmtId="1" fontId="2" fillId="3" borderId="12" xfId="0" applyFont="1" applyBorder="1" applyAlignment="1">
      <alignment/>
    </xf>
    <xf numFmtId="1" fontId="2" fillId="3" borderId="13" xfId="0" applyFont="1" applyBorder="1" applyAlignment="1">
      <alignment/>
    </xf>
    <xf numFmtId="1" fontId="2" fillId="3" borderId="0" xfId="0" applyFont="1" applyAlignment="1">
      <alignment horizontal="fill"/>
    </xf>
    <xf numFmtId="2" fontId="0" fillId="3" borderId="0" xfId="18" applyNumberFormat="1" applyFont="1">
      <alignment/>
      <protection/>
    </xf>
    <xf numFmtId="0" fontId="7" fillId="3" borderId="0" xfId="18" applyNumberFormat="1" applyFont="1" quotePrefix="1">
      <alignment/>
      <protection/>
    </xf>
    <xf numFmtId="0" fontId="0" fillId="3" borderId="14" xfId="18" applyNumberFormat="1" applyBorder="1">
      <alignment/>
      <protection/>
    </xf>
    <xf numFmtId="167" fontId="0" fillId="3" borderId="14" xfId="18" applyNumberFormat="1" applyFont="1" applyBorder="1">
      <alignment/>
      <protection/>
    </xf>
    <xf numFmtId="1" fontId="10" fillId="2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 quotePrefix="1">
      <alignment horizontal="right"/>
    </xf>
    <xf numFmtId="1" fontId="11" fillId="2" borderId="0" xfId="0" applyNumberFormat="1" applyFont="1" applyFill="1" applyAlignment="1">
      <alignment horizontal="left"/>
    </xf>
    <xf numFmtId="1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 applyAlignment="1">
      <alignment horizontal="right"/>
    </xf>
    <xf numFmtId="1" fontId="11" fillId="2" borderId="0" xfId="0" applyNumberFormat="1" applyFont="1" applyFill="1" applyAlignment="1" quotePrefix="1">
      <alignment horizontal="left"/>
    </xf>
    <xf numFmtId="3" fontId="11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176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</cellXfs>
  <cellStyles count="5">
    <cellStyle name="Normal" xfId="0"/>
    <cellStyle name="Followed Hyperlink" xfId="15"/>
    <cellStyle name="Hyperlink" xfId="16"/>
    <cellStyle name="Normal_Curr Farm Inc" xfId="17"/>
    <cellStyle name="Normal_Upland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46"/>
  <sheetViews>
    <sheetView showOutlineSymbols="0" zoomScale="87" zoomScaleNormal="87" workbookViewId="0" topLeftCell="A1">
      <pane xSplit="1" ySplit="3" topLeftCell="K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2" sqref="M42"/>
    </sheetView>
  </sheetViews>
  <sheetFormatPr defaultColWidth="18.33203125" defaultRowHeight="18"/>
  <cols>
    <col min="1" max="1" width="26.75" style="0" customWidth="1"/>
    <col min="3" max="3" width="9.75" style="0" customWidth="1"/>
    <col min="4" max="4" width="10.75" style="0" customWidth="1"/>
    <col min="5" max="5" width="12.75" style="0" customWidth="1"/>
    <col min="7" max="12" width="10.75" style="0" customWidth="1"/>
    <col min="13" max="21" width="12.75" style="0" customWidth="1"/>
    <col min="23" max="26" width="12.75" style="0" customWidth="1"/>
    <col min="34" max="34" width="13.75" style="0" customWidth="1"/>
    <col min="48" max="48" width="41.75" style="0" customWidth="1"/>
    <col min="49" max="50" width="15.75" style="0" customWidth="1"/>
    <col min="68" max="68" width="20.75" style="0" customWidth="1"/>
  </cols>
  <sheetData>
    <row r="1" spans="1:80" ht="19.5">
      <c r="A1" s="1">
        <f ca="1">NOW()</f>
        <v>39825.25829560185</v>
      </c>
      <c r="B1" s="1"/>
      <c r="C1" s="2"/>
      <c r="D1" s="2"/>
      <c r="E1" s="2"/>
      <c r="F1" s="2"/>
      <c r="G1" s="2"/>
      <c r="H1" s="3" t="str">
        <f>Upland!$H$1</f>
        <v>Upland Cotton Estimates-January 2009</v>
      </c>
      <c r="I1" s="2"/>
      <c r="J1" s="2"/>
      <c r="K1" s="2"/>
      <c r="L1" s="2"/>
      <c r="M1" s="2"/>
      <c r="N1" s="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/>
      <c r="AI1" s="2"/>
      <c r="AJ1" s="2"/>
      <c r="AK1" s="2"/>
      <c r="AL1" s="2"/>
      <c r="AM1" s="2"/>
      <c r="AN1" s="2"/>
      <c r="AO1" s="2"/>
      <c r="AP1" s="2"/>
      <c r="AQ1" s="2"/>
      <c r="AR1" s="2" t="s">
        <v>0</v>
      </c>
      <c r="AS1" s="2"/>
      <c r="AT1" s="2"/>
      <c r="AU1" s="2"/>
      <c r="AV1" s="2"/>
      <c r="AW1" s="4" t="s">
        <v>1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8">
      <c r="A2" s="5">
        <f ca="1">NOW()</f>
        <v>39825.25829560185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8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8">
      <c r="A4" s="7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0"/>
      <c r="AI4" s="10"/>
      <c r="AJ4" s="10"/>
      <c r="AK4" s="10"/>
      <c r="AL4" s="10"/>
      <c r="AM4" s="10"/>
      <c r="AN4" s="10" t="s">
        <v>18</v>
      </c>
      <c r="AO4" s="10" t="s">
        <v>18</v>
      </c>
      <c r="AP4" s="10" t="s">
        <v>18</v>
      </c>
      <c r="AQ4" s="10" t="s">
        <v>18</v>
      </c>
      <c r="AR4" s="4" t="s">
        <v>19</v>
      </c>
      <c r="AS4" s="2"/>
      <c r="AT4" s="2"/>
      <c r="AU4" s="2"/>
      <c r="AV4" s="2"/>
      <c r="AW4" s="2"/>
      <c r="AX4" s="2"/>
      <c r="AY4" s="2"/>
      <c r="AZ4" s="2"/>
      <c r="BA4" s="4" t="s">
        <v>20</v>
      </c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8">
      <c r="A5" s="11" t="s">
        <v>21</v>
      </c>
      <c r="B5" s="2"/>
      <c r="C5" s="2"/>
      <c r="D5" s="2"/>
      <c r="E5" s="2"/>
      <c r="F5" s="2"/>
      <c r="G5" s="2"/>
      <c r="H5" s="2" t="s">
        <v>22</v>
      </c>
      <c r="I5" s="2" t="s">
        <v>23</v>
      </c>
      <c r="J5" s="2" t="s">
        <v>24</v>
      </c>
      <c r="K5" s="2" t="s">
        <v>25</v>
      </c>
      <c r="L5" s="12">
        <v>0.25</v>
      </c>
      <c r="M5" s="12">
        <v>0.25</v>
      </c>
      <c r="N5" s="12">
        <v>0.125</v>
      </c>
      <c r="O5" s="12">
        <v>0.25</v>
      </c>
      <c r="P5" s="12">
        <v>0.125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 t="s">
        <v>26</v>
      </c>
      <c r="AX5" s="2" t="s">
        <v>27</v>
      </c>
      <c r="AY5" s="2"/>
      <c r="AZ5" s="2" t="e">
        <f>AW41</f>
        <v>#REF!</v>
      </c>
      <c r="BA5" s="2">
        <v>200</v>
      </c>
      <c r="BB5" s="2">
        <v>300</v>
      </c>
      <c r="BC5" s="2">
        <v>400</v>
      </c>
      <c r="BD5" s="2">
        <v>500</v>
      </c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8">
      <c r="A6" s="11" t="s">
        <v>28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0.78</v>
      </c>
      <c r="I6" s="13">
        <v>0.93</v>
      </c>
      <c r="J6" s="13">
        <v>0.7</v>
      </c>
      <c r="K6" s="13">
        <v>0.82</v>
      </c>
      <c r="L6" s="13">
        <v>0.92</v>
      </c>
      <c r="M6" s="13">
        <v>0.92</v>
      </c>
      <c r="N6" s="13">
        <v>0.89</v>
      </c>
      <c r="O6" s="13">
        <v>0.89</v>
      </c>
      <c r="P6" s="13">
        <v>0.86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14">
        <v>0.5</v>
      </c>
      <c r="BA6" s="2">
        <v>-100</v>
      </c>
      <c r="BB6" s="2">
        <v>6100</v>
      </c>
      <c r="BC6" s="2">
        <v>12300</v>
      </c>
      <c r="BD6" s="2">
        <v>18500</v>
      </c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8">
      <c r="A7" s="15" t="s">
        <v>29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0.76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4"/>
      <c r="AI7" s="4"/>
      <c r="AJ7" s="4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4" t="s">
        <v>30</v>
      </c>
      <c r="AW7" s="2"/>
      <c r="AX7" s="2"/>
      <c r="AY7" s="2"/>
      <c r="AZ7" s="14">
        <v>0.55</v>
      </c>
      <c r="BA7" s="2">
        <v>900</v>
      </c>
      <c r="BB7" s="2">
        <v>7600</v>
      </c>
      <c r="BC7" s="2">
        <v>14300</v>
      </c>
      <c r="BD7" s="2">
        <v>21000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8">
      <c r="A8" s="6" t="s">
        <v>31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4" t="s">
        <v>32</v>
      </c>
      <c r="AW8" s="2">
        <v>100</v>
      </c>
      <c r="AX8" s="2">
        <v>75</v>
      </c>
      <c r="AY8" s="2"/>
      <c r="AZ8" s="14">
        <v>0.65</v>
      </c>
      <c r="BA8" s="2">
        <v>2900</v>
      </c>
      <c r="BB8" s="2">
        <v>10600</v>
      </c>
      <c r="BC8" s="2">
        <v>18300</v>
      </c>
      <c r="BD8" s="2">
        <v>26000</v>
      </c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8">
      <c r="A9" s="4" t="s">
        <v>33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15309</v>
      </c>
      <c r="I9" s="17">
        <v>15429</v>
      </c>
      <c r="J9" s="17">
        <v>15633</v>
      </c>
      <c r="K9" s="17">
        <v>15823</v>
      </c>
      <c r="L9" s="17">
        <v>15564</v>
      </c>
      <c r="M9" s="17">
        <v>14672</v>
      </c>
      <c r="N9" s="17">
        <v>14483</v>
      </c>
      <c r="O9" s="17">
        <v>14564</v>
      </c>
      <c r="P9" s="17">
        <v>14378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/>
      <c r="AI9" s="4"/>
      <c r="AJ9" s="4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4" t="s">
        <v>34</v>
      </c>
      <c r="AW9" s="2">
        <v>0</v>
      </c>
      <c r="AX9" s="2">
        <v>25</v>
      </c>
      <c r="AY9" s="2"/>
      <c r="AZ9" s="10" t="s">
        <v>35</v>
      </c>
      <c r="BA9" s="10" t="s">
        <v>35</v>
      </c>
      <c r="BB9" s="10" t="s">
        <v>35</v>
      </c>
      <c r="BC9" s="10" t="s">
        <v>35</v>
      </c>
      <c r="BD9" s="10" t="s">
        <v>35</v>
      </c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8">
      <c r="A10" s="4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12854</v>
      </c>
      <c r="I10" s="17">
        <v>14476</v>
      </c>
      <c r="J10" s="18">
        <v>13540</v>
      </c>
      <c r="K10" s="18">
        <v>14211</v>
      </c>
      <c r="L10" s="17">
        <f>L13+L15+L16+L24</f>
        <v>13975</v>
      </c>
      <c r="M10" s="17">
        <f>M13+M15+M16+M24</f>
        <v>14120</v>
      </c>
      <c r="N10" s="17">
        <f>N13+N15+N16+N24</f>
        <v>14486</v>
      </c>
      <c r="O10" s="17">
        <f>O13+O15+O16+O24</f>
        <v>13723</v>
      </c>
      <c r="P10" s="17">
        <f>P13+P15+P16+P24</f>
        <v>14073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8">
      <c r="A11" s="4" t="s">
        <v>37</v>
      </c>
      <c r="B11" s="17">
        <v>11000</v>
      </c>
      <c r="C11" s="17">
        <v>11000</v>
      </c>
      <c r="D11" s="17">
        <v>10000</v>
      </c>
      <c r="E11" s="17">
        <v>13476</v>
      </c>
      <c r="F11" s="17">
        <v>11894</v>
      </c>
      <c r="G11" s="17">
        <v>12838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4" t="s">
        <v>38</v>
      </c>
      <c r="AW11" s="2"/>
      <c r="AX11" s="2"/>
      <c r="AY11" s="2"/>
      <c r="AZ11" s="2"/>
      <c r="BA11" s="4" t="s">
        <v>39</v>
      </c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8">
      <c r="A12" s="4" t="s">
        <v>40</v>
      </c>
      <c r="B12" s="17"/>
      <c r="C12" s="17"/>
      <c r="D12" s="17"/>
      <c r="E12" s="17"/>
      <c r="F12" s="17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50</v>
      </c>
      <c r="M12" s="17">
        <v>683</v>
      </c>
      <c r="N12" s="17">
        <v>1020</v>
      </c>
      <c r="O12" s="17">
        <v>1207</v>
      </c>
      <c r="P12" s="17">
        <v>1299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 t="s">
        <v>0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0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8">
      <c r="A13" s="4" t="s">
        <v>41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>
        <v>781</v>
      </c>
      <c r="M13" s="17">
        <v>703</v>
      </c>
      <c r="N13" s="17">
        <v>626</v>
      </c>
      <c r="O13" s="17">
        <v>405</v>
      </c>
      <c r="P13" s="17">
        <v>484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 t="s">
        <v>0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 t="s">
        <v>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18">
      <c r="A14" s="4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 t="s">
        <v>0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 t="s">
        <v>0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8">
      <c r="A15" s="4" t="s">
        <v>43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1580</v>
      </c>
      <c r="I15" s="17">
        <v>2500</v>
      </c>
      <c r="J15" s="17">
        <v>2475</v>
      </c>
      <c r="K15" s="17">
        <v>2315</v>
      </c>
      <c r="L15" s="17">
        <v>3261</v>
      </c>
      <c r="M15" s="17">
        <v>3158</v>
      </c>
      <c r="N15" s="17">
        <v>1535</v>
      </c>
      <c r="O15" s="17">
        <v>3108</v>
      </c>
      <c r="P15" s="17">
        <v>1472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 t="s">
        <v>0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 t="s">
        <v>0</v>
      </c>
      <c r="AS15" s="2"/>
      <c r="AT15" s="2"/>
      <c r="AU15" s="2"/>
      <c r="AV15" s="4" t="s">
        <v>44</v>
      </c>
      <c r="AW15" s="2">
        <v>200</v>
      </c>
      <c r="AX15" s="2">
        <v>200</v>
      </c>
      <c r="AY15" s="2"/>
      <c r="AZ15" s="2" t="e">
        <f>AX41</f>
        <v>#REF!</v>
      </c>
      <c r="BA15" s="2">
        <v>200</v>
      </c>
      <c r="BB15" s="2">
        <v>300</v>
      </c>
      <c r="BC15" s="2">
        <v>400</v>
      </c>
      <c r="BD15" s="2">
        <v>500</v>
      </c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8">
      <c r="A16" s="4" t="s">
        <v>45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4113</v>
      </c>
      <c r="J16" s="17">
        <f>ROUND(IF(J112&gt;0,#REF!*(J112/(J111+J112)),0),-2)</f>
        <v>0</v>
      </c>
      <c r="K16" s="17">
        <v>1295</v>
      </c>
      <c r="L16" s="17">
        <f>ROUND(IF(L112&gt;0,#REF!*(IF(L113&gt;0,L113,(L112-L114))/(L111+L112)),0),-2)</f>
        <v>0</v>
      </c>
      <c r="M16" s="17">
        <f>ROUND(IF(M112&gt;0,M9*M7*M112*0.95,0),-2)</f>
        <v>0</v>
      </c>
      <c r="N16" s="17">
        <f>ROUND(IF(N112&gt;0,(N9-N12)*N7*N112,0),-2)</f>
        <v>0</v>
      </c>
      <c r="O16" s="17">
        <f>ROUND(O7*O9*O112,-1)</f>
        <v>0</v>
      </c>
      <c r="P16" s="17">
        <f>ROUND(P7*P9*P112,-1)</f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 t="s">
        <v>0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 t="s">
        <v>0</v>
      </c>
      <c r="AS16" s="2"/>
      <c r="AT16" s="2"/>
      <c r="AU16" s="2"/>
      <c r="AV16" s="2"/>
      <c r="AW16" s="2"/>
      <c r="AX16" s="2"/>
      <c r="AY16" s="2"/>
      <c r="AZ16" s="14">
        <v>0.5</v>
      </c>
      <c r="BA16" s="2">
        <v>5000</v>
      </c>
      <c r="BB16" s="2">
        <v>9650</v>
      </c>
      <c r="BC16" s="2">
        <v>14300</v>
      </c>
      <c r="BD16" s="2">
        <v>18950</v>
      </c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8">
      <c r="A17" s="19" t="s">
        <v>46</v>
      </c>
      <c r="B17" s="17"/>
      <c r="C17" s="17"/>
      <c r="D17" s="17"/>
      <c r="E17" s="17"/>
      <c r="F17" s="17"/>
      <c r="G17" s="17"/>
      <c r="H17" s="17"/>
      <c r="I17" s="17"/>
      <c r="J17" s="17">
        <f>ROUND((J6*J9*(1-(J111+J112))),-2)</f>
        <v>8200</v>
      </c>
      <c r="K17" s="17">
        <f>ROUND((K6*K9*(1-(K111+K112))),-2)</f>
        <v>9100</v>
      </c>
      <c r="L17" s="17">
        <v>10855</v>
      </c>
      <c r="M17" s="17">
        <v>10107</v>
      </c>
      <c r="N17" s="17">
        <f>ROUND(N6*N9*(1-(N111+N112)),-2)</f>
        <v>11300</v>
      </c>
      <c r="O17" s="17">
        <v>9673</v>
      </c>
      <c r="P17" s="17">
        <v>10928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 t="s">
        <v>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 t="s">
        <v>0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5">
        <f ca="1">NOW()</f>
        <v>39825.25829560185</v>
      </c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8">
      <c r="A18" s="4" t="s">
        <v>47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 t="s">
        <v>48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 t="s">
        <v>0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 t="s">
        <v>0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8">
      <c r="A19" s="4" t="s">
        <v>49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8">
      <c r="A20" s="4" t="s">
        <v>50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8955</v>
      </c>
      <c r="I20" s="18">
        <v>6987</v>
      </c>
      <c r="J20" s="17">
        <v>7420</v>
      </c>
      <c r="K20" s="17">
        <v>8111</v>
      </c>
      <c r="L20" s="17">
        <v>9680</v>
      </c>
      <c r="M20" s="17">
        <v>9258</v>
      </c>
      <c r="N20" s="17">
        <v>10438</v>
      </c>
      <c r="O20" s="17">
        <v>9041</v>
      </c>
      <c r="P20" s="17">
        <v>10108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 t="s">
        <v>0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 t="s">
        <v>0</v>
      </c>
      <c r="AS20" s="2"/>
      <c r="AT20" s="2"/>
      <c r="AU20" s="2"/>
      <c r="AV20" s="4" t="s">
        <v>51</v>
      </c>
      <c r="AW20" s="2"/>
      <c r="AX20" s="2"/>
      <c r="AY20" s="2"/>
      <c r="AZ20" s="14">
        <v>0.55</v>
      </c>
      <c r="BA20" s="2">
        <v>4850</v>
      </c>
      <c r="BB20" s="2">
        <v>9875</v>
      </c>
      <c r="BC20" s="2">
        <v>14900</v>
      </c>
      <c r="BD20" s="2">
        <v>19925</v>
      </c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8">
      <c r="A21" s="4" t="s">
        <v>52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2319</v>
      </c>
      <c r="I21" s="17">
        <v>876</v>
      </c>
      <c r="J21" s="17">
        <v>3645</v>
      </c>
      <c r="K21" s="17">
        <v>2490</v>
      </c>
      <c r="L21" s="17">
        <f>L24-L20</f>
        <v>253</v>
      </c>
      <c r="M21" s="17">
        <f>M24-M20</f>
        <v>1001</v>
      </c>
      <c r="N21" s="17">
        <f>N24-N20</f>
        <v>1887</v>
      </c>
      <c r="O21" s="17">
        <f>O24-O20</f>
        <v>1169</v>
      </c>
      <c r="P21" s="17">
        <f>P24-P20</f>
        <v>2009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 t="s">
        <v>0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 t="s">
        <v>0</v>
      </c>
      <c r="AS21" s="2"/>
      <c r="AT21" s="2"/>
      <c r="AU21" s="2"/>
      <c r="AV21" s="4" t="s">
        <v>53</v>
      </c>
      <c r="AW21" s="14">
        <v>0.5</v>
      </c>
      <c r="AX21" s="14">
        <v>0.5</v>
      </c>
      <c r="AY21" s="2"/>
      <c r="AZ21" s="14">
        <v>0.6</v>
      </c>
      <c r="BA21" s="2">
        <v>4700</v>
      </c>
      <c r="BB21" s="2">
        <v>10100</v>
      </c>
      <c r="BC21" s="2">
        <v>15500</v>
      </c>
      <c r="BD21" s="2">
        <v>20900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8">
      <c r="A22" s="19" t="s">
        <v>54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 t="s">
        <v>0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 t="s">
        <v>0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8">
      <c r="A23" s="19" t="s">
        <v>55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8">
      <c r="A24" s="4" t="s">
        <v>56</v>
      </c>
      <c r="B24" s="17">
        <v>11590</v>
      </c>
      <c r="C24" s="17">
        <v>13604</v>
      </c>
      <c r="D24" s="17">
        <v>13298</v>
      </c>
      <c r="E24" s="17">
        <v>13887</v>
      </c>
      <c r="F24" s="17">
        <v>14461</v>
      </c>
      <c r="G24" s="17">
        <v>14272</v>
      </c>
      <c r="H24" s="17">
        <f>IF(H111&gt;0,SUM(H20:H21),0)</f>
        <v>11274</v>
      </c>
      <c r="I24" s="17">
        <v>7863</v>
      </c>
      <c r="J24" s="18">
        <v>11065</v>
      </c>
      <c r="K24" s="17">
        <v>10601</v>
      </c>
      <c r="L24" s="17">
        <v>9933</v>
      </c>
      <c r="M24" s="17">
        <v>10259</v>
      </c>
      <c r="N24" s="17">
        <v>12325</v>
      </c>
      <c r="O24" s="17">
        <v>10210</v>
      </c>
      <c r="P24" s="17">
        <v>12117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 t="s">
        <v>0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 t="s">
        <v>0</v>
      </c>
      <c r="AS24" s="2"/>
      <c r="AT24" s="2"/>
      <c r="AU24" s="2"/>
      <c r="AV24" s="4" t="s">
        <v>57</v>
      </c>
      <c r="AW24" s="14">
        <v>0.12</v>
      </c>
      <c r="AX24" s="14">
        <v>0.12</v>
      </c>
      <c r="AY24" s="2"/>
      <c r="AZ24" s="14">
        <v>0.65</v>
      </c>
      <c r="BA24" s="2">
        <v>4550</v>
      </c>
      <c r="BB24" s="2">
        <v>10325</v>
      </c>
      <c r="BC24" s="2">
        <v>16100</v>
      </c>
      <c r="BD24" s="2">
        <v>21875</v>
      </c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8">
      <c r="A25" s="4" t="s">
        <v>58</v>
      </c>
      <c r="B25" s="17">
        <v>10869</v>
      </c>
      <c r="C25" s="17">
        <v>13201</v>
      </c>
      <c r="D25" s="17">
        <v>12324</v>
      </c>
      <c r="E25" s="17">
        <v>12742</v>
      </c>
      <c r="F25" s="17">
        <v>13143</v>
      </c>
      <c r="G25" s="17">
        <v>13783</v>
      </c>
      <c r="H25" s="17">
        <v>9663</v>
      </c>
      <c r="I25" s="18">
        <v>7285</v>
      </c>
      <c r="J25" s="18">
        <v>10300</v>
      </c>
      <c r="K25" s="17">
        <v>10145</v>
      </c>
      <c r="L25" s="17">
        <v>8357</v>
      </c>
      <c r="M25" s="17">
        <v>9894</v>
      </c>
      <c r="N25" s="17">
        <v>11759</v>
      </c>
      <c r="O25" s="17">
        <v>9166</v>
      </c>
      <c r="P25" s="17">
        <v>11505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 t="s">
        <v>0</v>
      </c>
      <c r="AH25" s="10" t="s">
        <v>18</v>
      </c>
      <c r="AI25" s="10" t="s">
        <v>18</v>
      </c>
      <c r="AJ25" s="10" t="s">
        <v>18</v>
      </c>
      <c r="AK25" s="10" t="s">
        <v>18</v>
      </c>
      <c r="AL25" s="10" t="s">
        <v>18</v>
      </c>
      <c r="AM25" s="10" t="s">
        <v>18</v>
      </c>
      <c r="AN25" s="10" t="s">
        <v>18</v>
      </c>
      <c r="AO25" s="10" t="s">
        <v>18</v>
      </c>
      <c r="AP25" s="10" t="s">
        <v>18</v>
      </c>
      <c r="AQ25" s="10" t="s">
        <v>18</v>
      </c>
      <c r="AR25" s="10" t="s">
        <v>18</v>
      </c>
      <c r="AS25" s="10" t="s">
        <v>18</v>
      </c>
      <c r="AT25" s="10" t="s">
        <v>18</v>
      </c>
      <c r="AU25" s="4" t="s">
        <v>59</v>
      </c>
      <c r="AV25" s="4" t="s">
        <v>60</v>
      </c>
      <c r="AW25" s="14">
        <v>0</v>
      </c>
      <c r="AX25" s="14">
        <f>HLOOKUP(AX21,AV72:AY73,2)</f>
        <v>0.19</v>
      </c>
      <c r="AY25" s="2"/>
      <c r="AZ25" s="10" t="s">
        <v>35</v>
      </c>
      <c r="BA25" s="10" t="s">
        <v>35</v>
      </c>
      <c r="BB25" s="10" t="s">
        <v>35</v>
      </c>
      <c r="BC25" s="10" t="s">
        <v>35</v>
      </c>
      <c r="BD25" s="10" t="s">
        <v>35</v>
      </c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8">
      <c r="A26" s="4" t="s">
        <v>61</v>
      </c>
      <c r="B26" s="17">
        <v>464</v>
      </c>
      <c r="C26" s="17">
        <v>519</v>
      </c>
      <c r="D26" s="17">
        <v>419</v>
      </c>
      <c r="E26" s="17">
        <v>547</v>
      </c>
      <c r="F26" s="17">
        <v>402</v>
      </c>
      <c r="G26" s="17">
        <v>542</v>
      </c>
      <c r="H26" s="17">
        <v>589</v>
      </c>
      <c r="I26" s="18">
        <v>506</v>
      </c>
      <c r="J26" s="18">
        <v>599</v>
      </c>
      <c r="K26" s="18">
        <v>628</v>
      </c>
      <c r="L26" s="17">
        <v>547</v>
      </c>
      <c r="M26" s="17">
        <v>702</v>
      </c>
      <c r="N26" s="17">
        <v>615</v>
      </c>
      <c r="O26" s="17">
        <v>602</v>
      </c>
      <c r="P26" s="17">
        <v>632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0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 t="s">
        <v>62</v>
      </c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8">
      <c r="A27" s="4" t="s">
        <v>63</v>
      </c>
      <c r="B27" s="17">
        <f aca="true" t="shared" si="0" ref="B27:J27">B121</f>
        <v>517</v>
      </c>
      <c r="C27" s="17">
        <f t="shared" si="0"/>
        <v>510</v>
      </c>
      <c r="D27" s="17">
        <f t="shared" si="0"/>
        <v>579</v>
      </c>
      <c r="E27" s="17">
        <f t="shared" si="0"/>
        <v>549</v>
      </c>
      <c r="F27" s="17">
        <f t="shared" si="0"/>
        <v>553</v>
      </c>
      <c r="G27" s="17">
        <f t="shared" si="0"/>
        <v>545</v>
      </c>
      <c r="H27" s="17">
        <f t="shared" si="0"/>
        <v>581</v>
      </c>
      <c r="I27" s="17">
        <f t="shared" si="0"/>
        <v>580</v>
      </c>
      <c r="J27" s="17">
        <f t="shared" si="0"/>
        <v>600</v>
      </c>
      <c r="K27" s="17">
        <v>613</v>
      </c>
      <c r="L27" s="17">
        <v>608</v>
      </c>
      <c r="M27" s="17">
        <v>593</v>
      </c>
      <c r="N27" s="17">
        <v>590</v>
      </c>
      <c r="O27" s="17">
        <v>590</v>
      </c>
      <c r="P27" s="17">
        <v>590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 t="s">
        <v>0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 t="s">
        <v>62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8">
      <c r="A28" s="20" t="s">
        <v>64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0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 t="s">
        <v>62</v>
      </c>
      <c r="AV28" s="4" t="s">
        <v>65</v>
      </c>
      <c r="AW28" s="14">
        <v>125</v>
      </c>
      <c r="AX28" s="14">
        <v>125</v>
      </c>
      <c r="AY28" s="2"/>
      <c r="AZ28" s="10" t="s">
        <v>35</v>
      </c>
      <c r="BA28" s="10" t="s">
        <v>35</v>
      </c>
      <c r="BB28" s="10" t="s">
        <v>35</v>
      </c>
      <c r="BC28" s="10" t="s">
        <v>35</v>
      </c>
      <c r="BD28" s="10" t="s">
        <v>35</v>
      </c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8">
      <c r="A29" s="4" t="s">
        <v>66</v>
      </c>
      <c r="B29" s="17">
        <v>3615</v>
      </c>
      <c r="C29" s="17">
        <f aca="true" t="shared" si="1" ref="C29:P29">B39</f>
        <v>2879</v>
      </c>
      <c r="D29" s="17">
        <f t="shared" si="1"/>
        <v>5278</v>
      </c>
      <c r="E29" s="17">
        <f t="shared" si="1"/>
        <v>3905</v>
      </c>
      <c r="F29" s="17">
        <f t="shared" si="1"/>
        <v>2962</v>
      </c>
      <c r="G29" s="17">
        <f t="shared" si="1"/>
        <v>2614</v>
      </c>
      <c r="H29" s="17">
        <f t="shared" si="1"/>
        <v>6567</v>
      </c>
      <c r="I29" s="17">
        <f t="shared" si="1"/>
        <v>7844</v>
      </c>
      <c r="J29" s="17">
        <f t="shared" si="1"/>
        <v>2693</v>
      </c>
      <c r="K29" s="17">
        <f t="shared" si="1"/>
        <v>4024</v>
      </c>
      <c r="L29" s="17">
        <f t="shared" si="1"/>
        <v>9289</v>
      </c>
      <c r="M29" s="17">
        <f t="shared" si="1"/>
        <v>4942</v>
      </c>
      <c r="N29" s="17">
        <f t="shared" si="1"/>
        <v>5718</v>
      </c>
      <c r="O29" s="17">
        <f t="shared" si="1"/>
        <v>7026</v>
      </c>
      <c r="P29" s="17">
        <f t="shared" si="1"/>
        <v>2798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 t="s">
        <v>0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 t="s">
        <v>62</v>
      </c>
      <c r="AV29" s="4" t="s">
        <v>67</v>
      </c>
      <c r="AW29" s="14">
        <v>0</v>
      </c>
      <c r="AX29" s="14">
        <v>25</v>
      </c>
      <c r="AY29" s="2"/>
      <c r="AZ29" s="2"/>
      <c r="BA29" s="2">
        <v>200</v>
      </c>
      <c r="BB29" s="2">
        <v>300</v>
      </c>
      <c r="BC29" s="2">
        <v>400</v>
      </c>
      <c r="BD29" s="2">
        <v>500</v>
      </c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8">
      <c r="A30" s="4" t="s">
        <v>68</v>
      </c>
      <c r="B30" s="17">
        <v>10517</v>
      </c>
      <c r="C30" s="17">
        <v>14277</v>
      </c>
      <c r="D30" s="17">
        <v>10762</v>
      </c>
      <c r="E30" s="17">
        <v>14531</v>
      </c>
      <c r="F30" s="17">
        <v>11018</v>
      </c>
      <c r="G30" s="17">
        <v>15566</v>
      </c>
      <c r="H30" s="17">
        <v>11864</v>
      </c>
      <c r="I30" s="17">
        <v>7677</v>
      </c>
      <c r="J30" s="17">
        <v>12852</v>
      </c>
      <c r="K30" s="17">
        <v>13277</v>
      </c>
      <c r="L30" s="17">
        <v>9525</v>
      </c>
      <c r="M30" s="17">
        <v>14475</v>
      </c>
      <c r="N30" s="17">
        <v>15077</v>
      </c>
      <c r="O30" s="17">
        <v>11504</v>
      </c>
      <c r="P30" s="17">
        <v>15147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 t="s">
        <v>0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 t="s">
        <v>62</v>
      </c>
      <c r="AV30" s="2"/>
      <c r="AW30" s="2"/>
      <c r="AX30" s="2"/>
      <c r="AY30" s="2"/>
      <c r="AZ30" s="14">
        <v>0.5</v>
      </c>
      <c r="BA30" s="14">
        <f>BA16/BA6</f>
        <v>-50</v>
      </c>
      <c r="BB30" s="14">
        <f>BB16/BB6</f>
        <v>1.5819672131147542</v>
      </c>
      <c r="BC30" s="14">
        <f>BC16/BC6</f>
        <v>1.1626016260162602</v>
      </c>
      <c r="BD30" s="14">
        <f>BD16/BD6</f>
        <v>1.0243243243243243</v>
      </c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17">
        <f>ROUND((((((CB17*0.93)+(((1-CB6)*CB9)*0.85)+CB22))*0.94))*CB26/480,-2)</f>
        <v>0</v>
      </c>
    </row>
    <row r="31" spans="1:80" ht="18">
      <c r="A31" s="4" t="s">
        <v>69</v>
      </c>
      <c r="B31" s="17">
        <v>19</v>
      </c>
      <c r="C31" s="17">
        <v>1</v>
      </c>
      <c r="D31" s="17">
        <v>2</v>
      </c>
      <c r="E31" s="17">
        <v>4</v>
      </c>
      <c r="F31" s="17">
        <v>27</v>
      </c>
      <c r="G31" s="17">
        <v>18</v>
      </c>
      <c r="H31" s="17">
        <v>12</v>
      </c>
      <c r="I31" s="18">
        <v>8</v>
      </c>
      <c r="J31" s="18">
        <v>21</v>
      </c>
      <c r="K31" s="18">
        <v>33</v>
      </c>
      <c r="L31" s="18">
        <v>3</v>
      </c>
      <c r="M31" s="18">
        <v>2</v>
      </c>
      <c r="N31" s="18">
        <v>5</v>
      </c>
      <c r="O31" s="18">
        <v>2</v>
      </c>
      <c r="P31" s="18">
        <v>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 t="s">
        <v>0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 t="s">
        <v>62</v>
      </c>
      <c r="AV31" s="4" t="s">
        <v>70</v>
      </c>
      <c r="AW31" s="2"/>
      <c r="AX31" s="2"/>
      <c r="AY31" s="2"/>
      <c r="AZ31" s="14">
        <v>0.55</v>
      </c>
      <c r="BA31" s="14">
        <f>BA20/BA7</f>
        <v>5.388888888888889</v>
      </c>
      <c r="BB31" s="14">
        <f>BB20/BB7</f>
        <v>1.299342105263158</v>
      </c>
      <c r="BC31" s="14">
        <f>BC20/BC7</f>
        <v>1.0419580419580419</v>
      </c>
      <c r="BD31" s="14">
        <f>BD20/BD7</f>
        <v>0.9488095238095238</v>
      </c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8">
      <c r="A32" s="4" t="s">
        <v>71</v>
      </c>
      <c r="B32" s="17">
        <f aca="true" t="shared" si="2" ref="B32:P32">SUM(B29:B31)</f>
        <v>14151</v>
      </c>
      <c r="C32" s="17">
        <f t="shared" si="2"/>
        <v>17157</v>
      </c>
      <c r="D32" s="17">
        <f t="shared" si="2"/>
        <v>16042</v>
      </c>
      <c r="E32" s="17">
        <f t="shared" si="2"/>
        <v>18440</v>
      </c>
      <c r="F32" s="17">
        <f t="shared" si="2"/>
        <v>14007</v>
      </c>
      <c r="G32" s="17">
        <f t="shared" si="2"/>
        <v>18198</v>
      </c>
      <c r="H32" s="17">
        <f t="shared" si="2"/>
        <v>18443</v>
      </c>
      <c r="I32" s="17">
        <f t="shared" si="2"/>
        <v>15529</v>
      </c>
      <c r="J32" s="17">
        <f t="shared" si="2"/>
        <v>15566</v>
      </c>
      <c r="K32" s="17">
        <f t="shared" si="2"/>
        <v>17334</v>
      </c>
      <c r="L32" s="17">
        <f t="shared" si="2"/>
        <v>18817</v>
      </c>
      <c r="M32" s="17">
        <f t="shared" si="2"/>
        <v>19419</v>
      </c>
      <c r="N32" s="17">
        <f t="shared" si="2"/>
        <v>20800</v>
      </c>
      <c r="O32" s="17">
        <f t="shared" si="2"/>
        <v>18532</v>
      </c>
      <c r="P32" s="17">
        <f t="shared" si="2"/>
        <v>17949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 t="s">
        <v>0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 t="s">
        <v>62</v>
      </c>
      <c r="AV32" s="4" t="s">
        <v>72</v>
      </c>
      <c r="AW32" s="2">
        <f>AW8*AW15*AW21</f>
        <v>10000</v>
      </c>
      <c r="AX32" s="2">
        <f>AX8*AX15*AX21</f>
        <v>7500</v>
      </c>
      <c r="AY32" s="2"/>
      <c r="AZ32" s="14">
        <v>0.6</v>
      </c>
      <c r="BA32" s="14" t="e">
        <f>BA21/#REF!</f>
        <v>#REF!</v>
      </c>
      <c r="BB32" s="14" t="e">
        <f>BB21/#REF!</f>
        <v>#REF!</v>
      </c>
      <c r="BC32" s="14" t="e">
        <f>BC21/#REF!</f>
        <v>#REF!</v>
      </c>
      <c r="BD32" s="14" t="e">
        <f>BD21/#REF!</f>
        <v>#REF!</v>
      </c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8">
      <c r="A33" s="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 t="s">
        <v>0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 t="s">
        <v>62</v>
      </c>
      <c r="AV33" s="4" t="s">
        <v>73</v>
      </c>
      <c r="AW33" s="2">
        <f>AW8*AW15*AW24</f>
        <v>2400</v>
      </c>
      <c r="AX33" s="2">
        <f>AX8*AX15*AX24</f>
        <v>1800</v>
      </c>
      <c r="AY33" s="2"/>
      <c r="AZ33" s="14">
        <v>0.65</v>
      </c>
      <c r="BA33" s="14">
        <f>BA24/BA8</f>
        <v>1.5689655172413792</v>
      </c>
      <c r="BB33" s="14">
        <f>BB24/BB8</f>
        <v>0.9740566037735849</v>
      </c>
      <c r="BC33" s="14">
        <f>BC24/BC8</f>
        <v>0.8797814207650273</v>
      </c>
      <c r="BD33" s="14">
        <f>BD24/BD8</f>
        <v>0.8413461538461539</v>
      </c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8">
      <c r="A34" s="4" t="s">
        <v>74</v>
      </c>
      <c r="B34" s="17">
        <v>6595</v>
      </c>
      <c r="C34" s="17">
        <v>6416</v>
      </c>
      <c r="D34" s="17">
        <v>6286</v>
      </c>
      <c r="E34" s="17">
        <v>6441</v>
      </c>
      <c r="F34" s="17">
        <v>5828</v>
      </c>
      <c r="G34" s="17">
        <v>5216</v>
      </c>
      <c r="H34" s="17">
        <v>5457</v>
      </c>
      <c r="I34" s="18">
        <v>5861</v>
      </c>
      <c r="J34" s="18">
        <v>5491</v>
      </c>
      <c r="K34" s="18">
        <v>6338</v>
      </c>
      <c r="L34" s="17">
        <v>7385</v>
      </c>
      <c r="M34" s="17">
        <v>7565</v>
      </c>
      <c r="N34" s="17">
        <v>7711</v>
      </c>
      <c r="O34" s="17">
        <v>8686</v>
      </c>
      <c r="P34" s="17">
        <v>8592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 t="s">
        <v>0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 t="s">
        <v>62</v>
      </c>
      <c r="AV34" s="4" t="s">
        <v>75</v>
      </c>
      <c r="AW34" s="2" t="e">
        <f>AW8*#REF!*AW25</f>
        <v>#REF!</v>
      </c>
      <c r="AX34" s="2" t="e">
        <f>AX8*#REF!*AX25</f>
        <v>#REF!</v>
      </c>
      <c r="AY34" s="2"/>
      <c r="AZ34" s="10" t="s">
        <v>35</v>
      </c>
      <c r="BA34" s="10" t="s">
        <v>35</v>
      </c>
      <c r="BB34" s="10" t="s">
        <v>35</v>
      </c>
      <c r="BC34" s="10" t="s">
        <v>35</v>
      </c>
      <c r="BD34" s="10" t="s">
        <v>35</v>
      </c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8">
      <c r="A35" s="4" t="s">
        <v>76</v>
      </c>
      <c r="B35" s="17">
        <v>4779</v>
      </c>
      <c r="C35" s="17">
        <v>5459</v>
      </c>
      <c r="D35" s="17">
        <v>6150</v>
      </c>
      <c r="E35" s="17">
        <v>9177</v>
      </c>
      <c r="F35" s="17">
        <v>5893</v>
      </c>
      <c r="G35" s="17">
        <v>6555</v>
      </c>
      <c r="H35" s="17">
        <v>5194</v>
      </c>
      <c r="I35" s="18">
        <v>6750</v>
      </c>
      <c r="J35" s="18">
        <v>6125</v>
      </c>
      <c r="K35" s="18">
        <v>1855</v>
      </c>
      <c r="L35" s="17">
        <v>6570</v>
      </c>
      <c r="M35" s="17">
        <v>6345</v>
      </c>
      <c r="N35" s="17">
        <v>5883</v>
      </c>
      <c r="O35" s="17">
        <v>7242</v>
      </c>
      <c r="P35" s="17">
        <v>7378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 t="s">
        <v>0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 t="s">
        <v>62</v>
      </c>
      <c r="AV35" s="4" t="s">
        <v>77</v>
      </c>
      <c r="AW35" s="2" t="e">
        <f>AW32+AW33+AW34</f>
        <v>#REF!</v>
      </c>
      <c r="AX35" s="2" t="e">
        <f>AX32+AX33+AX34</f>
        <v>#REF!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8">
      <c r="A36" s="4" t="s">
        <v>78</v>
      </c>
      <c r="B36" s="17">
        <f aca="true" t="shared" si="3" ref="B36:P36">SUM(B34:B35)</f>
        <v>11374</v>
      </c>
      <c r="C36" s="17">
        <f t="shared" si="3"/>
        <v>11875</v>
      </c>
      <c r="D36" s="17">
        <f t="shared" si="3"/>
        <v>12436</v>
      </c>
      <c r="E36" s="17">
        <f t="shared" si="3"/>
        <v>15618</v>
      </c>
      <c r="F36" s="17">
        <f t="shared" si="3"/>
        <v>11721</v>
      </c>
      <c r="G36" s="17">
        <f t="shared" si="3"/>
        <v>11771</v>
      </c>
      <c r="H36" s="17">
        <f t="shared" si="3"/>
        <v>10651</v>
      </c>
      <c r="I36" s="17">
        <f t="shared" si="3"/>
        <v>12611</v>
      </c>
      <c r="J36" s="17">
        <f t="shared" si="3"/>
        <v>11616</v>
      </c>
      <c r="K36" s="17">
        <f t="shared" si="3"/>
        <v>8193</v>
      </c>
      <c r="L36" s="17">
        <f t="shared" si="3"/>
        <v>13955</v>
      </c>
      <c r="M36" s="17">
        <f t="shared" si="3"/>
        <v>13910</v>
      </c>
      <c r="N36" s="17">
        <f t="shared" si="3"/>
        <v>13594</v>
      </c>
      <c r="O36" s="17">
        <f t="shared" si="3"/>
        <v>15928</v>
      </c>
      <c r="P36" s="17">
        <f t="shared" si="3"/>
        <v>15970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 t="s">
        <v>0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 t="s">
        <v>62</v>
      </c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8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>
        <f>AVERAGE(G35:K35)</f>
        <v>5295.8</v>
      </c>
      <c r="L37" s="17"/>
      <c r="M37" s="17"/>
      <c r="N37" s="17"/>
      <c r="O37" s="17"/>
      <c r="P37" s="17">
        <f>AVERAGE(L35:P35)</f>
        <v>6683.6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 t="s">
        <v>0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 t="s">
        <v>62</v>
      </c>
      <c r="AV37" s="4" t="s">
        <v>79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8">
      <c r="A38" s="4" t="s">
        <v>80</v>
      </c>
      <c r="B38" s="17">
        <f aca="true" t="shared" si="4" ref="B38:P38">B39-(B32-B36)</f>
        <v>102</v>
      </c>
      <c r="C38" s="17">
        <f t="shared" si="4"/>
        <v>-4</v>
      </c>
      <c r="D38" s="17">
        <f t="shared" si="4"/>
        <v>299</v>
      </c>
      <c r="E38" s="17">
        <f t="shared" si="4"/>
        <v>140</v>
      </c>
      <c r="F38" s="17">
        <f t="shared" si="4"/>
        <v>328</v>
      </c>
      <c r="G38" s="17">
        <f t="shared" si="4"/>
        <v>140</v>
      </c>
      <c r="H38" s="17">
        <f t="shared" si="4"/>
        <v>52</v>
      </c>
      <c r="I38" s="17">
        <f t="shared" si="4"/>
        <v>-225</v>
      </c>
      <c r="J38" s="17">
        <f t="shared" si="4"/>
        <v>74</v>
      </c>
      <c r="K38" s="17">
        <f t="shared" si="4"/>
        <v>148</v>
      </c>
      <c r="L38" s="17">
        <f t="shared" si="4"/>
        <v>80</v>
      </c>
      <c r="M38" s="17">
        <f t="shared" si="4"/>
        <v>209</v>
      </c>
      <c r="N38" s="17">
        <f t="shared" si="4"/>
        <v>-180</v>
      </c>
      <c r="O38" s="17">
        <f t="shared" si="4"/>
        <v>194</v>
      </c>
      <c r="P38" s="17">
        <f t="shared" si="4"/>
        <v>283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 t="s">
        <v>0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 t="s">
        <v>62</v>
      </c>
      <c r="AV38" s="4" t="s">
        <v>81</v>
      </c>
      <c r="AW38" s="2">
        <f>AW8*AW28</f>
        <v>12500</v>
      </c>
      <c r="AX38" s="2">
        <f>AX8*AX28</f>
        <v>9375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8">
      <c r="A39" s="4" t="s">
        <v>82</v>
      </c>
      <c r="B39" s="17">
        <v>2879</v>
      </c>
      <c r="C39" s="17">
        <v>5278</v>
      </c>
      <c r="D39" s="17">
        <v>3905</v>
      </c>
      <c r="E39" s="17">
        <v>2962</v>
      </c>
      <c r="F39" s="17">
        <v>2614</v>
      </c>
      <c r="G39" s="17">
        <v>6567</v>
      </c>
      <c r="H39" s="17">
        <v>7844</v>
      </c>
      <c r="I39" s="17">
        <v>2693</v>
      </c>
      <c r="J39" s="17">
        <v>4024</v>
      </c>
      <c r="K39" s="17">
        <v>9289</v>
      </c>
      <c r="L39" s="17">
        <v>4942</v>
      </c>
      <c r="M39" s="17">
        <v>5718</v>
      </c>
      <c r="N39" s="17">
        <v>7026</v>
      </c>
      <c r="O39" s="17">
        <v>2798</v>
      </c>
      <c r="P39" s="17">
        <v>2262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 t="s">
        <v>0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 t="s">
        <v>62</v>
      </c>
      <c r="AV39" s="4" t="s">
        <v>83</v>
      </c>
      <c r="AW39" s="2" t="e">
        <f>AW38+#REF!</f>
        <v>#REF!</v>
      </c>
      <c r="AX39" s="2" t="e">
        <f>AX38+#REF!</f>
        <v>#REF!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8">
      <c r="A40" s="4" t="s">
        <v>84</v>
      </c>
      <c r="B40" s="17">
        <v>0</v>
      </c>
      <c r="C40" s="17">
        <v>0</v>
      </c>
      <c r="D40" s="17">
        <v>1</v>
      </c>
      <c r="E40" s="17">
        <v>0</v>
      </c>
      <c r="F40" s="17">
        <v>0</v>
      </c>
      <c r="G40" s="17">
        <v>1</v>
      </c>
      <c r="H40" s="17">
        <v>396</v>
      </c>
      <c r="I40" s="18">
        <v>158</v>
      </c>
      <c r="J40" s="18">
        <v>124</v>
      </c>
      <c r="K40" s="18">
        <v>775</v>
      </c>
      <c r="L40" s="17">
        <v>69</v>
      </c>
      <c r="M40" s="17">
        <v>5</v>
      </c>
      <c r="N40" s="17">
        <v>92</v>
      </c>
      <c r="O40" s="17">
        <v>27</v>
      </c>
      <c r="P40" s="17">
        <v>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 t="s">
        <v>0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 t="s">
        <v>62</v>
      </c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8">
      <c r="A41" s="4" t="s">
        <v>85</v>
      </c>
      <c r="B41" s="17">
        <v>309</v>
      </c>
      <c r="C41" s="17">
        <v>1299</v>
      </c>
      <c r="D41" s="17">
        <v>651</v>
      </c>
      <c r="E41" s="17">
        <v>540</v>
      </c>
      <c r="F41" s="17">
        <v>723</v>
      </c>
      <c r="G41" s="17">
        <v>3643</v>
      </c>
      <c r="H41" s="17">
        <v>4267</v>
      </c>
      <c r="I41" s="18">
        <v>440</v>
      </c>
      <c r="J41" s="18">
        <v>1548</v>
      </c>
      <c r="K41" s="17">
        <v>5965</v>
      </c>
      <c r="L41" s="17">
        <v>2914</v>
      </c>
      <c r="M41" s="17">
        <v>3163</v>
      </c>
      <c r="N41" s="17">
        <v>4119</v>
      </c>
      <c r="O41" s="17">
        <v>430</v>
      </c>
      <c r="P41" s="17">
        <v>214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 t="s"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 t="s">
        <v>62</v>
      </c>
      <c r="AV41" s="4" t="s">
        <v>86</v>
      </c>
      <c r="AW41" s="2" t="e">
        <f>AW35-AW39</f>
        <v>#REF!</v>
      </c>
      <c r="AX41" s="2" t="e">
        <f>AX35-AX39</f>
        <v>#REF!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8">
      <c r="A42" s="4" t="s">
        <v>87</v>
      </c>
      <c r="B42" s="17">
        <f aca="true" t="shared" si="5" ref="B42:P42">B39-B40-B41</f>
        <v>2570</v>
      </c>
      <c r="C42" s="17">
        <f t="shared" si="5"/>
        <v>3979</v>
      </c>
      <c r="D42" s="17">
        <f t="shared" si="5"/>
        <v>3253</v>
      </c>
      <c r="E42" s="17">
        <f t="shared" si="5"/>
        <v>2422</v>
      </c>
      <c r="F42" s="17">
        <f t="shared" si="5"/>
        <v>1891</v>
      </c>
      <c r="G42" s="17">
        <f t="shared" si="5"/>
        <v>2923</v>
      </c>
      <c r="H42" s="17">
        <f t="shared" si="5"/>
        <v>3181</v>
      </c>
      <c r="I42" s="17">
        <f t="shared" si="5"/>
        <v>2095</v>
      </c>
      <c r="J42" s="17">
        <f t="shared" si="5"/>
        <v>2352</v>
      </c>
      <c r="K42" s="17">
        <f t="shared" si="5"/>
        <v>2549</v>
      </c>
      <c r="L42" s="17">
        <f t="shared" si="5"/>
        <v>1959</v>
      </c>
      <c r="M42" s="17">
        <f t="shared" si="5"/>
        <v>2550</v>
      </c>
      <c r="N42" s="17">
        <f t="shared" si="5"/>
        <v>2815</v>
      </c>
      <c r="O42" s="17">
        <f t="shared" si="5"/>
        <v>2341</v>
      </c>
      <c r="P42" s="17">
        <f t="shared" si="5"/>
        <v>2047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 t="s">
        <v>0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 t="s">
        <v>62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8">
      <c r="A43" s="22" t="s">
        <v>88</v>
      </c>
      <c r="B43" s="23">
        <f aca="true" t="shared" si="6" ref="B43:P43">B39/B36</f>
        <v>0.2531211535080007</v>
      </c>
      <c r="C43" s="23">
        <f t="shared" si="6"/>
        <v>0.44446315789473684</v>
      </c>
      <c r="D43" s="23">
        <f t="shared" si="6"/>
        <v>0.31400771952396267</v>
      </c>
      <c r="E43" s="23">
        <f t="shared" si="6"/>
        <v>0.1896529645281086</v>
      </c>
      <c r="F43" s="23">
        <f t="shared" si="6"/>
        <v>0.22301851377868784</v>
      </c>
      <c r="G43" s="23">
        <f t="shared" si="6"/>
        <v>0.557896525358933</v>
      </c>
      <c r="H43" s="23">
        <f t="shared" si="6"/>
        <v>0.7364566707351422</v>
      </c>
      <c r="I43" s="23">
        <f t="shared" si="6"/>
        <v>0.21354373166283402</v>
      </c>
      <c r="J43" s="23">
        <f t="shared" si="6"/>
        <v>0.3464187327823691</v>
      </c>
      <c r="K43" s="23">
        <f t="shared" si="6"/>
        <v>1.1337727328207006</v>
      </c>
      <c r="L43" s="23">
        <f t="shared" si="6"/>
        <v>0.35413830168398425</v>
      </c>
      <c r="M43" s="23">
        <f t="shared" si="6"/>
        <v>0.41107117181883535</v>
      </c>
      <c r="N43" s="23">
        <f t="shared" si="6"/>
        <v>0.5168456672061204</v>
      </c>
      <c r="O43" s="23">
        <f t="shared" si="6"/>
        <v>0.17566549472626822</v>
      </c>
      <c r="P43" s="23">
        <f t="shared" si="6"/>
        <v>0.1416405760801503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 t="s">
        <v>0</v>
      </c>
      <c r="AH43" s="2"/>
      <c r="AI43" s="2"/>
      <c r="AJ43" s="2"/>
      <c r="AK43" s="2"/>
      <c r="AL43" s="10" t="s">
        <v>18</v>
      </c>
      <c r="AM43" s="10" t="s">
        <v>18</v>
      </c>
      <c r="AN43" s="10" t="s">
        <v>18</v>
      </c>
      <c r="AO43" s="10" t="s">
        <v>18</v>
      </c>
      <c r="AP43" s="10" t="s">
        <v>18</v>
      </c>
      <c r="AQ43" s="10" t="s">
        <v>18</v>
      </c>
      <c r="AR43" s="10" t="s">
        <v>18</v>
      </c>
      <c r="AS43" s="10" t="s">
        <v>18</v>
      </c>
      <c r="AT43" s="10" t="s">
        <v>18</v>
      </c>
      <c r="AU43" s="4" t="s">
        <v>59</v>
      </c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8">
      <c r="A44" s="4" t="s">
        <v>89</v>
      </c>
      <c r="B44" s="14">
        <v>43.2</v>
      </c>
      <c r="C44" s="14">
        <v>47.8</v>
      </c>
      <c r="D44" s="14">
        <v>52</v>
      </c>
      <c r="E44" s="14">
        <v>57.7</v>
      </c>
      <c r="F44" s="14">
        <v>58.4</v>
      </c>
      <c r="G44" s="14">
        <v>70.87</v>
      </c>
      <c r="H44" s="14">
        <v>71</v>
      </c>
      <c r="I44" s="14">
        <v>76</v>
      </c>
      <c r="J44" s="14">
        <v>81</v>
      </c>
      <c r="K44" s="14">
        <v>81</v>
      </c>
      <c r="L44" s="14">
        <v>81</v>
      </c>
      <c r="M44" s="14">
        <v>79.4</v>
      </c>
      <c r="N44" s="14">
        <v>75.9</v>
      </c>
      <c r="O44" s="14">
        <v>73.4</v>
      </c>
      <c r="P44" s="14">
        <v>72.9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8">
      <c r="A45" s="4" t="s">
        <v>90</v>
      </c>
      <c r="B45" s="14">
        <v>60.6</v>
      </c>
      <c r="C45" s="14">
        <v>56.2</v>
      </c>
      <c r="D45" s="14">
        <v>55.1</v>
      </c>
      <c r="E45" s="14">
        <v>58.9</v>
      </c>
      <c r="F45" s="14">
        <v>73.3</v>
      </c>
      <c r="G45" s="14">
        <v>63.2</v>
      </c>
      <c r="H45" s="14">
        <v>55.2</v>
      </c>
      <c r="I45" s="14">
        <v>63.9</v>
      </c>
      <c r="J45" s="14">
        <v>62.4</v>
      </c>
      <c r="K45" s="14">
        <v>54.7</v>
      </c>
      <c r="L45" s="14">
        <v>53.8</v>
      </c>
      <c r="M45" s="14">
        <v>62.1</v>
      </c>
      <c r="N45" s="14">
        <v>56.5</v>
      </c>
      <c r="O45" s="14">
        <v>60.3</v>
      </c>
      <c r="P45" s="14">
        <v>65.6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8">
      <c r="A46" s="4" t="s">
        <v>91</v>
      </c>
      <c r="B46" s="14">
        <f aca="true" t="shared" si="7" ref="B46:I46">MAX(B44-MAX(B50,B45),0)</f>
        <v>0</v>
      </c>
      <c r="C46" s="14">
        <f t="shared" si="7"/>
        <v>0</v>
      </c>
      <c r="D46" s="14">
        <f t="shared" si="7"/>
        <v>0</v>
      </c>
      <c r="E46" s="14">
        <f t="shared" si="7"/>
        <v>0</v>
      </c>
      <c r="F46" s="14">
        <f t="shared" si="7"/>
        <v>0</v>
      </c>
      <c r="G46" s="14">
        <f t="shared" si="7"/>
        <v>7.670000000000002</v>
      </c>
      <c r="H46" s="14">
        <f t="shared" si="7"/>
        <v>13.920000000000002</v>
      </c>
      <c r="I46" s="14">
        <f t="shared" si="7"/>
        <v>12.100000000000001</v>
      </c>
      <c r="J46" s="14">
        <v>18.6</v>
      </c>
      <c r="K46" s="14">
        <f>MAX(K44-MAX(K50,K45),0)</f>
        <v>23.700000000000003</v>
      </c>
      <c r="L46" s="14">
        <f>L44-MAX(L45,L50)</f>
        <v>26</v>
      </c>
      <c r="M46" s="14">
        <f>M44-MAX(M45,M50)</f>
        <v>17.300000000000004</v>
      </c>
      <c r="N46" s="14">
        <f>N44-MAX(N45,N50)</f>
        <v>19.400000000000006</v>
      </c>
      <c r="O46" s="14">
        <f>O44-MAX(O45,O50)</f>
        <v>13.100000000000009</v>
      </c>
      <c r="P46" s="14">
        <f>P44-MAX(P45,P50)</f>
        <v>7.300000000000011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8">
      <c r="A47" s="4" t="s">
        <v>92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14">
        <f>MAX(L50-L51,0)</f>
        <v>11</v>
      </c>
      <c r="M47" s="2">
        <f>MAX(M50-M51,0)</f>
        <v>0</v>
      </c>
      <c r="N47" s="14">
        <f>MAX(N50-N51,0)</f>
        <v>0</v>
      </c>
      <c r="O47" s="14">
        <f>MAX(O50-O51,0)</f>
        <v>0</v>
      </c>
      <c r="P47" s="14">
        <f>MAX(P50-P51,0)</f>
        <v>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8">
      <c r="A48" s="4" t="s">
        <v>93</v>
      </c>
      <c r="B48" s="14">
        <v>0</v>
      </c>
      <c r="C48" s="14">
        <v>0</v>
      </c>
      <c r="D48" s="14">
        <v>17.33</v>
      </c>
      <c r="E48" s="14">
        <v>19.23</v>
      </c>
      <c r="F48" s="14">
        <v>19.46</v>
      </c>
      <c r="G48" s="14">
        <v>23.62</v>
      </c>
      <c r="H48" s="14">
        <v>20.5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4">
        <f>ROUND(0.65*N44,2)</f>
        <v>49.34</v>
      </c>
      <c r="O48" s="2">
        <v>0</v>
      </c>
      <c r="P48" s="2">
        <v>0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8">
      <c r="A49" s="4" t="s">
        <v>94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14">
        <v>25</v>
      </c>
      <c r="J49" s="2">
        <v>0</v>
      </c>
      <c r="K49" s="14">
        <v>30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ht="18">
      <c r="A50" s="4" t="s">
        <v>95</v>
      </c>
      <c r="B50" s="14">
        <v>38.92</v>
      </c>
      <c r="C50" s="14">
        <v>44.63</v>
      </c>
      <c r="D50" s="14">
        <v>48</v>
      </c>
      <c r="E50" s="14">
        <v>50.23</v>
      </c>
      <c r="F50" s="14">
        <v>48</v>
      </c>
      <c r="G50" s="14">
        <v>52.46</v>
      </c>
      <c r="H50" s="14">
        <v>57.08</v>
      </c>
      <c r="I50" s="14">
        <v>55</v>
      </c>
      <c r="J50" s="14">
        <v>55</v>
      </c>
      <c r="K50" s="14">
        <v>57.3</v>
      </c>
      <c r="L50" s="14">
        <v>55</v>
      </c>
      <c r="M50" s="14">
        <v>52.25</v>
      </c>
      <c r="N50" s="14">
        <f>ROUND(MAX((0.85*((SUM(H116,I116,J116,K116,L116)-MAX(H116,I116,J116,K116,L116)-MIN(H116,I116,J116,K116,L116))/3)),(0.95*M50),50),1)</f>
        <v>51.8</v>
      </c>
      <c r="O50" s="14">
        <v>50</v>
      </c>
      <c r="P50" s="14">
        <f>ROUND(MAX((0.85*((SUM(J116,K116,L116,M116,N116)-MAX(J116,K116,L116,M116,N116)-MIN(J116,K116,L116,M116,N116))/3)),(0.97*O50),50),2)</f>
        <v>50.27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ht="18">
      <c r="A51" s="4" t="s">
        <v>96</v>
      </c>
      <c r="B51" s="2"/>
      <c r="C51" s="2"/>
      <c r="D51" s="2"/>
      <c r="E51" s="2"/>
      <c r="F51" s="2"/>
      <c r="G51" s="2"/>
      <c r="H51" s="14">
        <f>H50</f>
        <v>57.08</v>
      </c>
      <c r="I51" s="14">
        <f>I50</f>
        <v>55</v>
      </c>
      <c r="J51" s="14">
        <f>J50</f>
        <v>55</v>
      </c>
      <c r="K51" s="14">
        <f>K50</f>
        <v>57.3</v>
      </c>
      <c r="L51" s="14">
        <v>44</v>
      </c>
      <c r="M51" s="14">
        <f>ROUND(IF(M56&lt;M50,(MAX((0.8*M50),M56)),M50),2)</f>
        <v>52.25</v>
      </c>
      <c r="N51" s="14">
        <f>ROUND(IF(N56&lt;N50,(MAX((0.8*N50),N56)),N50),2)</f>
        <v>51.8</v>
      </c>
      <c r="O51" s="14">
        <f>ROUND(IF(O58&lt;O50,O58,O50),2)</f>
        <v>50</v>
      </c>
      <c r="P51" s="14">
        <f>ROUND(IF(P58&lt;P50,P58,P50),2)</f>
        <v>50.27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ht="18">
      <c r="A52" s="4" t="s">
        <v>97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ht="18">
      <c r="A53" s="4" t="s">
        <v>98</v>
      </c>
      <c r="B53" s="2"/>
      <c r="C53" s="2"/>
      <c r="D53" s="2"/>
      <c r="E53" s="2"/>
      <c r="F53" s="2"/>
      <c r="G53" s="2"/>
      <c r="H53" s="14">
        <v>59.1</v>
      </c>
      <c r="I53" s="14">
        <v>66</v>
      </c>
      <c r="J53" s="14">
        <v>57.5</v>
      </c>
      <c r="K53" s="14">
        <v>56.1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4" t="s">
        <v>99</v>
      </c>
      <c r="AI53" s="4" t="s">
        <v>100</v>
      </c>
      <c r="AJ53" s="4" t="s">
        <v>101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ht="18">
      <c r="A54" s="4" t="s">
        <v>102</v>
      </c>
      <c r="B54" s="14">
        <v>63.8</v>
      </c>
      <c r="C54" s="14">
        <v>52.1</v>
      </c>
      <c r="D54" s="14">
        <v>58.1</v>
      </c>
      <c r="E54" s="14">
        <v>62.3</v>
      </c>
      <c r="F54" s="14">
        <v>74.4</v>
      </c>
      <c r="G54" s="14">
        <v>54</v>
      </c>
      <c r="H54" s="14">
        <v>59.5</v>
      </c>
      <c r="I54" s="24">
        <v>65.3</v>
      </c>
      <c r="J54" s="24">
        <v>58.7</v>
      </c>
      <c r="K54" s="24">
        <v>56.8</v>
      </c>
      <c r="L54" s="14">
        <v>51.5</v>
      </c>
      <c r="M54" s="14">
        <v>63.7</v>
      </c>
      <c r="N54" s="14">
        <v>55.6</v>
      </c>
      <c r="O54" s="14">
        <v>63.6</v>
      </c>
      <c r="P54" s="14">
        <v>67.1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4" t="s">
        <v>103</v>
      </c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ht="18">
      <c r="A55" s="4" t="s">
        <v>104</v>
      </c>
      <c r="B55" s="14">
        <f aca="true" t="shared" si="8" ref="B55:P55">MIN(B50,B51,B52)+ROUND(EXP(3.65-(4.852*B43)),2)</f>
        <v>50.19</v>
      </c>
      <c r="C55" s="14">
        <f t="shared" si="8"/>
        <v>49.080000000000005</v>
      </c>
      <c r="D55" s="14">
        <f t="shared" si="8"/>
        <v>56.38</v>
      </c>
      <c r="E55" s="14">
        <f t="shared" si="8"/>
        <v>65.56</v>
      </c>
      <c r="F55" s="14">
        <f t="shared" si="8"/>
        <v>61.04</v>
      </c>
      <c r="G55" s="14">
        <f t="shared" si="8"/>
        <v>55.03</v>
      </c>
      <c r="H55" s="14">
        <f t="shared" si="8"/>
        <v>58.16</v>
      </c>
      <c r="I55" s="14">
        <f t="shared" si="8"/>
        <v>68.65</v>
      </c>
      <c r="J55" s="14">
        <f t="shared" si="8"/>
        <v>62.16</v>
      </c>
      <c r="K55" s="14">
        <f t="shared" si="8"/>
        <v>57.459999999999994</v>
      </c>
      <c r="L55" s="14">
        <f t="shared" si="8"/>
        <v>50.9</v>
      </c>
      <c r="M55" s="14">
        <f t="shared" si="8"/>
        <v>57.49</v>
      </c>
      <c r="N55" s="14">
        <f t="shared" si="8"/>
        <v>54.93</v>
      </c>
      <c r="O55" s="14">
        <f t="shared" si="8"/>
        <v>66.41</v>
      </c>
      <c r="P55" s="14">
        <f t="shared" si="8"/>
        <v>69.62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ht="18">
      <c r="A56" s="4" t="s">
        <v>105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14">
        <v>48.71</v>
      </c>
      <c r="M56" s="14">
        <v>60.34</v>
      </c>
      <c r="N56" s="14">
        <v>51.89</v>
      </c>
      <c r="O56" s="14">
        <v>65.05</v>
      </c>
      <c r="P56" s="14">
        <v>66.05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ht="18">
      <c r="A57" s="4" t="s">
        <v>106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4">
        <f>ROUND(1.15*O50,2)</f>
        <v>57.5</v>
      </c>
      <c r="P57" s="14">
        <f>ROUND(1.15*P50,2)</f>
        <v>57.81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ht="18">
      <c r="A58" s="4" t="s">
        <v>107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4">
        <f>O56</f>
        <v>65.05</v>
      </c>
      <c r="P58" s="14">
        <f>P56</f>
        <v>66.05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4" t="s">
        <v>108</v>
      </c>
      <c r="AI58" s="4" t="s">
        <v>109</v>
      </c>
      <c r="AJ58" s="4" t="s">
        <v>110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18">
      <c r="A59" s="4" t="s">
        <v>111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14">
        <v>1.5</v>
      </c>
      <c r="M59" s="2">
        <v>0</v>
      </c>
      <c r="N59" s="14">
        <v>0.7</v>
      </c>
      <c r="O59" s="14">
        <v>0.1</v>
      </c>
      <c r="P59" s="14">
        <v>0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4" t="s">
        <v>103</v>
      </c>
      <c r="AI59" s="2"/>
      <c r="AJ59" s="4" t="s">
        <v>112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10" t="s">
        <v>18</v>
      </c>
      <c r="AI60" s="10" t="s">
        <v>18</v>
      </c>
      <c r="AJ60" s="10" t="s">
        <v>18</v>
      </c>
      <c r="AK60" s="10" t="s">
        <v>18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18">
      <c r="A61" s="2" t="s">
        <v>113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5">
        <f>ROUND(M54/M50,2)</f>
        <v>1.22</v>
      </c>
      <c r="N61" s="25">
        <f>ROUND(N54/N50,2)</f>
        <v>1.07</v>
      </c>
      <c r="O61" s="25">
        <f>ROUND(O54/O50,2)</f>
        <v>1.27</v>
      </c>
      <c r="P61" s="25">
        <f>ROUND(P54/P50,2)</f>
        <v>1.33</v>
      </c>
      <c r="Q61" s="2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ht="18">
      <c r="A72" s="85" t="s">
        <v>114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>
        <v>0.5</v>
      </c>
      <c r="AW72" s="2">
        <v>0.55</v>
      </c>
      <c r="AX72" s="2">
        <v>0.6</v>
      </c>
      <c r="AY72" s="2">
        <v>0.65</v>
      </c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 ht="18">
      <c r="A73" s="86" t="s">
        <v>115</v>
      </c>
      <c r="B73" s="17">
        <v>0</v>
      </c>
      <c r="C73" s="17">
        <v>0</v>
      </c>
      <c r="D73" s="17">
        <v>40503</v>
      </c>
      <c r="E73" s="17">
        <v>0</v>
      </c>
      <c r="F73" s="17">
        <v>0</v>
      </c>
      <c r="G73" s="17">
        <v>0</v>
      </c>
      <c r="H73" s="17">
        <v>0</v>
      </c>
      <c r="I73" s="17">
        <v>3000</v>
      </c>
      <c r="J73" s="17">
        <v>0</v>
      </c>
      <c r="K73" s="17">
        <v>196000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>
        <v>0.19</v>
      </c>
      <c r="AW73" s="2">
        <v>0.16</v>
      </c>
      <c r="AX73" s="2">
        <v>0.13</v>
      </c>
      <c r="AY73" s="2">
        <v>0.1</v>
      </c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4" t="s">
        <v>116</v>
      </c>
      <c r="BQ73" s="2"/>
      <c r="BR73" s="2" t="s">
        <v>117</v>
      </c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 ht="18">
      <c r="A74" s="86" t="s">
        <v>118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468399</v>
      </c>
      <c r="H74" s="17">
        <v>522731</v>
      </c>
      <c r="I74" s="17">
        <v>431400</v>
      </c>
      <c r="J74" s="17">
        <v>654300</v>
      </c>
      <c r="K74" s="17">
        <v>857800</v>
      </c>
      <c r="L74" s="17">
        <v>1258297</v>
      </c>
      <c r="M74" s="17">
        <v>953099</v>
      </c>
      <c r="N74" s="17">
        <v>1144247</v>
      </c>
      <c r="O74" s="17">
        <v>655284</v>
      </c>
      <c r="P74" s="17">
        <v>409752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>
        <f>212046+197307</f>
        <v>409353</v>
      </c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4" t="s">
        <v>119</v>
      </c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 ht="18">
      <c r="A75" s="86" t="s">
        <v>120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 ht="18">
      <c r="A76" s="86" t="s">
        <v>121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>
        <v>127245</v>
      </c>
      <c r="M76" s="17">
        <v>364</v>
      </c>
      <c r="N76" s="17">
        <v>41710</v>
      </c>
      <c r="O76" s="17">
        <v>0</v>
      </c>
      <c r="P76" s="17">
        <v>0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>
        <f>212807+262500</f>
        <v>475307</v>
      </c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 ht="18">
      <c r="A77" s="86" t="s">
        <v>122</v>
      </c>
      <c r="B77" s="17">
        <v>979083</v>
      </c>
      <c r="C77" s="17">
        <v>68845</v>
      </c>
      <c r="D77" s="17">
        <v>187809</v>
      </c>
      <c r="E77" s="17">
        <v>107459</v>
      </c>
      <c r="F77" s="17">
        <v>302000</v>
      </c>
      <c r="G77" s="17">
        <v>81224</v>
      </c>
      <c r="H77" s="17">
        <v>131210</v>
      </c>
      <c r="I77" s="17">
        <v>31</v>
      </c>
      <c r="J77" s="17">
        <v>0</v>
      </c>
      <c r="K77" s="17">
        <v>0</v>
      </c>
      <c r="L77" s="17">
        <v>0</v>
      </c>
      <c r="M77" s="17">
        <v>0</v>
      </c>
      <c r="N77" s="17">
        <v>150662</v>
      </c>
      <c r="O77" s="17">
        <v>170641</v>
      </c>
      <c r="P77" s="17">
        <v>43102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4" t="s">
        <v>123</v>
      </c>
      <c r="BQ77" s="2"/>
      <c r="BR77" s="2" t="s">
        <v>124</v>
      </c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 ht="18">
      <c r="A78" s="86" t="s">
        <v>125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17">
        <v>2000</v>
      </c>
      <c r="M78" s="17">
        <v>27300</v>
      </c>
      <c r="N78" s="17">
        <v>40800</v>
      </c>
      <c r="O78" s="17">
        <v>48300</v>
      </c>
      <c r="P78" s="17">
        <v>52000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 ht="18">
      <c r="A79" s="86" t="s">
        <v>126</v>
      </c>
      <c r="B79" s="17">
        <v>3222997</v>
      </c>
      <c r="C79" s="17">
        <v>3567597</v>
      </c>
      <c r="D79" s="17">
        <v>3003860</v>
      </c>
      <c r="E79" s="17">
        <v>4343692</v>
      </c>
      <c r="F79" s="17">
        <v>3932759</v>
      </c>
      <c r="G79" s="17">
        <v>4038369</v>
      </c>
      <c r="H79" s="17">
        <v>3363547</v>
      </c>
      <c r="I79" s="17">
        <v>2430204</v>
      </c>
      <c r="J79" s="17">
        <v>3545913</v>
      </c>
      <c r="K79" s="17">
        <v>3559718</v>
      </c>
      <c r="L79" s="17">
        <v>2360228</v>
      </c>
      <c r="M79" s="17">
        <v>4413034</v>
      </c>
      <c r="N79" s="17">
        <v>4000746</v>
      </c>
      <c r="O79" s="17">
        <v>3555480</v>
      </c>
      <c r="P79" s="17">
        <v>4894226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17"/>
      <c r="BT79" s="17"/>
      <c r="BU79" s="2"/>
      <c r="BV79" s="2"/>
      <c r="BW79" s="2"/>
      <c r="BX79" s="2"/>
      <c r="BY79" s="2"/>
      <c r="BZ79" s="2"/>
      <c r="CA79" s="2"/>
      <c r="CB79" s="2"/>
    </row>
    <row r="80" spans="1:80" ht="18">
      <c r="A80" s="86" t="s">
        <v>127</v>
      </c>
      <c r="B80" s="17">
        <v>425205</v>
      </c>
      <c r="C80" s="17">
        <v>384535</v>
      </c>
      <c r="D80" s="17">
        <v>485613</v>
      </c>
      <c r="E80" s="17">
        <v>697617</v>
      </c>
      <c r="F80" s="17">
        <v>574511</v>
      </c>
      <c r="G80" s="17">
        <v>549041</v>
      </c>
      <c r="H80" s="17">
        <v>366240</v>
      </c>
      <c r="I80" s="17">
        <v>511450</v>
      </c>
      <c r="J80" s="17">
        <v>511953</v>
      </c>
      <c r="K80" s="17">
        <v>348342</v>
      </c>
      <c r="L80" s="17">
        <v>303965</v>
      </c>
      <c r="M80" s="17">
        <v>474703</v>
      </c>
      <c r="N80" s="17">
        <v>718255</v>
      </c>
      <c r="O80" s="17">
        <v>492636</v>
      </c>
      <c r="P80" s="17">
        <v>722313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 t="s">
        <v>128</v>
      </c>
      <c r="BQ80" s="17"/>
      <c r="BR80" s="17">
        <f>'Curr Farm Inc'!$C$5*0.1</f>
        <v>101605.499817</v>
      </c>
      <c r="BS80" s="17"/>
      <c r="BT80" s="17"/>
      <c r="BU80" s="2"/>
      <c r="BV80" s="2"/>
      <c r="BW80" s="2"/>
      <c r="BX80" s="2"/>
      <c r="BY80" s="2"/>
      <c r="BZ80" s="2"/>
      <c r="CA80" s="2"/>
      <c r="CB80" s="2"/>
    </row>
    <row r="81" spans="1:80" ht="18">
      <c r="A81" s="86" t="s">
        <v>129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>
        <v>180392</v>
      </c>
      <c r="M81" s="17">
        <v>120883</v>
      </c>
      <c r="N81" s="17">
        <v>105437</v>
      </c>
      <c r="O81" s="17">
        <v>0</v>
      </c>
      <c r="P81" s="17">
        <v>611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17"/>
      <c r="BR81" s="17"/>
      <c r="BS81" s="17"/>
      <c r="BT81" s="17"/>
      <c r="BU81" s="2"/>
      <c r="BV81" s="2"/>
      <c r="BW81" s="2"/>
      <c r="BX81" s="2"/>
      <c r="BY81" s="2"/>
      <c r="BZ81" s="2"/>
      <c r="CA81" s="2"/>
      <c r="CB81" s="2"/>
    </row>
    <row r="82" spans="1:80" ht="18">
      <c r="A82" s="86" t="s">
        <v>130</v>
      </c>
      <c r="B82" s="17">
        <v>4627285</v>
      </c>
      <c r="C82" s="17">
        <v>4020977</v>
      </c>
      <c r="D82" s="17">
        <v>3717785</v>
      </c>
      <c r="E82" s="17">
        <v>5148768</v>
      </c>
      <c r="F82" s="17">
        <v>4809270</v>
      </c>
      <c r="G82" s="17">
        <v>5137033</v>
      </c>
      <c r="H82" s="17">
        <v>4383728</v>
      </c>
      <c r="I82" s="17">
        <v>3376085</v>
      </c>
      <c r="J82" s="17">
        <v>4712166</v>
      </c>
      <c r="K82" s="17">
        <v>4961860</v>
      </c>
      <c r="L82" s="17">
        <v>4232127</v>
      </c>
      <c r="M82" s="17">
        <v>5989383</v>
      </c>
      <c r="N82" s="17">
        <v>6201857</v>
      </c>
      <c r="O82" s="17">
        <v>4922341</v>
      </c>
      <c r="P82" s="17">
        <v>6122004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17"/>
      <c r="BR82" s="17"/>
      <c r="BS82" s="17"/>
      <c r="BT82" s="17"/>
      <c r="BU82" s="2"/>
      <c r="BV82" s="2"/>
      <c r="BW82" s="2"/>
      <c r="BX82" s="2"/>
      <c r="BY82" s="2"/>
      <c r="BZ82" s="2"/>
      <c r="CA82" s="2"/>
      <c r="CB82" s="2"/>
    </row>
    <row r="83" spans="1:80" ht="18">
      <c r="A83" s="86" t="s">
        <v>131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 ht="18">
      <c r="A84" s="86" t="s">
        <v>132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17"/>
      <c r="BR84" s="17"/>
      <c r="BS84" s="17"/>
      <c r="BT84" s="17"/>
      <c r="BU84" s="2"/>
      <c r="BV84" s="2"/>
      <c r="BW84" s="2"/>
      <c r="BX84" s="2"/>
      <c r="BY84" s="2"/>
      <c r="BZ84" s="2"/>
      <c r="CA84" s="2"/>
      <c r="CB84" s="2"/>
    </row>
    <row r="85" spans="1:80" ht="18">
      <c r="A85" s="86" t="s">
        <v>133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 ht="18">
      <c r="A86" s="88" t="s">
        <v>134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17"/>
      <c r="BR86" s="17"/>
      <c r="BS86" s="17"/>
      <c r="BT86" s="17"/>
      <c r="BU86" s="2"/>
      <c r="BV86" s="2"/>
      <c r="BW86" s="2"/>
      <c r="BX86" s="2"/>
      <c r="BY86" s="2"/>
      <c r="BZ86" s="2"/>
      <c r="CA86" s="2"/>
      <c r="CB86" s="2"/>
    </row>
    <row r="87" spans="1:80" ht="18">
      <c r="A87" s="86" t="s">
        <v>135</v>
      </c>
      <c r="B87" s="87"/>
      <c r="C87" s="87"/>
      <c r="D87" s="87"/>
      <c r="E87" s="87"/>
      <c r="F87" s="87"/>
      <c r="G87" s="87"/>
      <c r="H87" s="87"/>
      <c r="I87" s="87"/>
      <c r="J87" s="87">
        <v>4057866</v>
      </c>
      <c r="K87" s="87">
        <v>3908060</v>
      </c>
      <c r="L87" s="87">
        <v>2664193</v>
      </c>
      <c r="M87" s="87">
        <v>4887737</v>
      </c>
      <c r="N87" s="87">
        <v>4719001</v>
      </c>
      <c r="O87" s="87">
        <v>4048116</v>
      </c>
      <c r="P87" s="87">
        <v>5616539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 ht="18">
      <c r="A88" s="86" t="s">
        <v>136</v>
      </c>
      <c r="B88" s="87"/>
      <c r="C88" s="87"/>
      <c r="D88" s="87"/>
      <c r="E88" s="87"/>
      <c r="F88" s="87"/>
      <c r="G88" s="87"/>
      <c r="H88" s="87"/>
      <c r="I88" s="87"/>
      <c r="J88" s="87">
        <v>654300</v>
      </c>
      <c r="K88" s="87">
        <v>857800</v>
      </c>
      <c r="L88" s="87">
        <v>1565934</v>
      </c>
      <c r="M88" s="87">
        <v>1074346</v>
      </c>
      <c r="N88" s="87">
        <v>1442056</v>
      </c>
      <c r="O88" s="87">
        <v>825925</v>
      </c>
      <c r="P88" s="87">
        <v>453465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 ht="18">
      <c r="A89" s="86" t="s">
        <v>137</v>
      </c>
      <c r="B89" s="87"/>
      <c r="C89" s="87"/>
      <c r="D89" s="87"/>
      <c r="E89" s="87"/>
      <c r="F89" s="87"/>
      <c r="G89" s="87"/>
      <c r="H89" s="87"/>
      <c r="I89" s="87"/>
      <c r="J89" s="87">
        <v>4712166</v>
      </c>
      <c r="K89" s="87">
        <v>4765860</v>
      </c>
      <c r="L89" s="87">
        <v>4230127</v>
      </c>
      <c r="M89" s="87">
        <v>5962083</v>
      </c>
      <c r="N89" s="87">
        <v>6161057</v>
      </c>
      <c r="O89" s="87">
        <v>4874041</v>
      </c>
      <c r="P89" s="87">
        <v>6070004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 ht="18">
      <c r="A90" s="89" t="s">
        <v>138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4" t="s">
        <v>139</v>
      </c>
      <c r="BQ90" s="17"/>
      <c r="BR90" s="17" t="s">
        <v>140</v>
      </c>
      <c r="BS90" s="17"/>
      <c r="BT90" s="17"/>
      <c r="BU90" s="2"/>
      <c r="BV90" s="2"/>
      <c r="BW90" s="2"/>
      <c r="BX90" s="2"/>
      <c r="BY90" s="2"/>
      <c r="BZ90" s="2"/>
      <c r="CA90" s="2"/>
      <c r="CB90" s="2"/>
    </row>
    <row r="91" spans="1:80" ht="18">
      <c r="A91" s="86" t="s">
        <v>141</v>
      </c>
      <c r="B91" s="87"/>
      <c r="C91" s="87"/>
      <c r="D91" s="87"/>
      <c r="E91" s="87"/>
      <c r="F91" s="87"/>
      <c r="G91" s="87"/>
      <c r="H91" s="87"/>
      <c r="I91" s="87"/>
      <c r="J91" s="14">
        <v>221.3</v>
      </c>
      <c r="K91" s="14">
        <v>220.33</v>
      </c>
      <c r="L91" s="14">
        <v>210.71</v>
      </c>
      <c r="M91" s="14">
        <v>250</v>
      </c>
      <c r="N91" s="14">
        <v>249.36</v>
      </c>
      <c r="O91" s="14">
        <v>260.44</v>
      </c>
      <c r="P91" s="14">
        <v>271.51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17" t="s">
        <v>142</v>
      </c>
      <c r="BS91" s="2"/>
      <c r="BT91" s="17"/>
      <c r="BU91" s="2"/>
      <c r="BV91" s="2"/>
      <c r="BW91" s="2"/>
      <c r="BX91" s="2"/>
      <c r="BY91" s="2"/>
      <c r="BZ91" s="2"/>
      <c r="CA91" s="2"/>
      <c r="CB91" s="2"/>
    </row>
    <row r="92" spans="1:80" ht="18">
      <c r="A92" s="86" t="s">
        <v>143</v>
      </c>
      <c r="B92" s="87"/>
      <c r="C92" s="87"/>
      <c r="D92" s="87"/>
      <c r="E92" s="87"/>
      <c r="F92" s="87"/>
      <c r="G92" s="87"/>
      <c r="H92" s="87"/>
      <c r="I92" s="87"/>
      <c r="J92" s="14">
        <v>22.13</v>
      </c>
      <c r="K92" s="14">
        <v>22.03</v>
      </c>
      <c r="L92" s="14">
        <v>21.07</v>
      </c>
      <c r="M92" s="14">
        <v>25</v>
      </c>
      <c r="N92" s="14">
        <v>24.94</v>
      </c>
      <c r="O92" s="14">
        <v>26.04</v>
      </c>
      <c r="P92" s="14">
        <v>27.15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17" t="s">
        <v>144</v>
      </c>
      <c r="BR92" s="17" t="s">
        <v>145</v>
      </c>
      <c r="BS92" s="17" t="s">
        <v>146</v>
      </c>
      <c r="BT92" s="17"/>
      <c r="BU92" s="2"/>
      <c r="BV92" s="2"/>
      <c r="BW92" s="2"/>
      <c r="BX92" s="2"/>
      <c r="BY92" s="2"/>
      <c r="BZ92" s="2"/>
      <c r="CA92" s="2"/>
      <c r="CB92" s="2"/>
    </row>
    <row r="93" spans="1:80" ht="18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 ht="18">
      <c r="A94" s="89" t="s">
        <v>147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17"/>
      <c r="BR94" s="17"/>
      <c r="BS94" s="17"/>
      <c r="BT94" s="17"/>
      <c r="BU94" s="2"/>
      <c r="BV94" s="2"/>
      <c r="BW94" s="2"/>
      <c r="BX94" s="2"/>
      <c r="BY94" s="2"/>
      <c r="BZ94" s="2"/>
      <c r="CA94" s="2"/>
      <c r="CB94" s="2"/>
    </row>
    <row r="95" spans="1:80" ht="18">
      <c r="A95" s="86" t="s">
        <v>148</v>
      </c>
      <c r="B95" s="87"/>
      <c r="C95" s="87"/>
      <c r="D95" s="87"/>
      <c r="E95" s="87"/>
      <c r="F95" s="87"/>
      <c r="G95" s="87"/>
      <c r="H95" s="87"/>
      <c r="I95" s="87"/>
      <c r="J95" s="17">
        <v>2449</v>
      </c>
      <c r="K95" s="17">
        <v>2336</v>
      </c>
      <c r="L95" s="17">
        <v>2093</v>
      </c>
      <c r="M95" s="17">
        <v>2565</v>
      </c>
      <c r="N95" s="17">
        <v>3073</v>
      </c>
      <c r="O95" s="17">
        <v>2659</v>
      </c>
      <c r="P95" s="17">
        <v>3290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 t="s">
        <v>149</v>
      </c>
      <c r="BQ95" s="17">
        <f>'Curr Farm Inc'!$D$5*0.4</f>
        <v>421229.27447600005</v>
      </c>
      <c r="BR95" s="17" t="e">
        <f>#REF!*0.4</f>
        <v>#REF!</v>
      </c>
      <c r="BS95" s="17" t="e">
        <f>#REF!*0.4</f>
        <v>#REF!</v>
      </c>
      <c r="BT95" s="17"/>
      <c r="BU95" s="2"/>
      <c r="BV95" s="2"/>
      <c r="BW95" s="2"/>
      <c r="BX95" s="2"/>
      <c r="BY95" s="2"/>
      <c r="BZ95" s="2"/>
      <c r="CA95" s="2"/>
      <c r="CB95" s="2"/>
    </row>
    <row r="96" spans="1:80" ht="18">
      <c r="A96" s="86" t="s">
        <v>150</v>
      </c>
      <c r="B96" s="87"/>
      <c r="C96" s="87"/>
      <c r="D96" s="87"/>
      <c r="E96" s="87"/>
      <c r="F96" s="87"/>
      <c r="G96" s="87"/>
      <c r="H96" s="87"/>
      <c r="I96" s="87"/>
      <c r="J96" s="17">
        <v>55</v>
      </c>
      <c r="K96" s="17">
        <v>80</v>
      </c>
      <c r="L96" s="17">
        <v>85</v>
      </c>
      <c r="M96" s="17">
        <v>97</v>
      </c>
      <c r="N96" s="17">
        <v>54</v>
      </c>
      <c r="O96" s="17">
        <v>91</v>
      </c>
      <c r="P96" s="17">
        <v>53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 t="s">
        <v>151</v>
      </c>
      <c r="BQ96" s="17">
        <f>'Curr Farm Inc'!$D$5*0.5</f>
        <v>526536.593095</v>
      </c>
      <c r="BR96" s="17" t="e">
        <f>#REF!*0.5</f>
        <v>#REF!</v>
      </c>
      <c r="BS96" s="17" t="e">
        <f>#REF!*0.5</f>
        <v>#REF!</v>
      </c>
      <c r="BT96" s="17"/>
      <c r="BU96" s="2"/>
      <c r="BV96" s="2"/>
      <c r="BW96" s="2"/>
      <c r="BX96" s="2"/>
      <c r="BY96" s="2"/>
      <c r="BZ96" s="2"/>
      <c r="CA96" s="2"/>
      <c r="CB96" s="2"/>
    </row>
    <row r="97" spans="1:80" ht="18">
      <c r="A97" s="86" t="s">
        <v>152</v>
      </c>
      <c r="B97" s="87"/>
      <c r="C97" s="87"/>
      <c r="D97" s="87"/>
      <c r="E97" s="87"/>
      <c r="F97" s="87"/>
      <c r="G97" s="87"/>
      <c r="H97" s="87"/>
      <c r="I97" s="87"/>
      <c r="J97" s="17">
        <v>2504</v>
      </c>
      <c r="K97" s="17">
        <v>2416</v>
      </c>
      <c r="L97" s="17">
        <v>2178</v>
      </c>
      <c r="M97" s="17">
        <v>2662</v>
      </c>
      <c r="N97" s="17">
        <v>3127</v>
      </c>
      <c r="O97" s="17">
        <v>2750</v>
      </c>
      <c r="P97" s="17">
        <v>3343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 t="s">
        <v>153</v>
      </c>
      <c r="BQ97" s="17"/>
      <c r="BR97" s="17"/>
      <c r="BS97" s="17"/>
      <c r="BT97" s="17"/>
      <c r="BU97" s="2"/>
      <c r="BV97" s="2"/>
      <c r="BW97" s="2"/>
      <c r="BX97" s="2"/>
      <c r="BY97" s="2"/>
      <c r="BZ97" s="2"/>
      <c r="CA97" s="2"/>
      <c r="CB97" s="2"/>
    </row>
    <row r="98" spans="1:80" ht="18">
      <c r="A98" s="86" t="s">
        <v>154</v>
      </c>
      <c r="B98" s="87"/>
      <c r="C98" s="87"/>
      <c r="D98" s="87"/>
      <c r="E98" s="87"/>
      <c r="F98" s="87"/>
      <c r="G98" s="87"/>
      <c r="H98" s="87"/>
      <c r="I98" s="87"/>
      <c r="J98" s="17">
        <v>2208</v>
      </c>
      <c r="K98" s="17">
        <v>2350</v>
      </c>
      <c r="L98" s="17">
        <v>2052</v>
      </c>
      <c r="M98" s="17">
        <v>3300</v>
      </c>
      <c r="N98" s="17">
        <v>3034</v>
      </c>
      <c r="O98" s="17">
        <v>2124</v>
      </c>
      <c r="P98" s="17">
        <v>2727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17"/>
      <c r="BR98" s="17"/>
      <c r="BS98" s="17"/>
      <c r="BT98" s="17"/>
      <c r="BU98" s="2"/>
      <c r="BV98" s="2"/>
      <c r="BW98" s="2"/>
      <c r="BX98" s="2"/>
      <c r="BY98" s="2"/>
      <c r="BZ98" s="2"/>
      <c r="CA98" s="2"/>
      <c r="CB98" s="2"/>
    </row>
    <row r="99" spans="1:80" ht="18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 ht="18">
      <c r="A100" s="90" t="s">
        <v>155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 ht="18">
      <c r="A101" s="91" t="s">
        <v>156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 ht="18">
      <c r="A102" s="88" t="s">
        <v>157</v>
      </c>
      <c r="B102" s="87"/>
      <c r="C102" s="87"/>
      <c r="D102" s="87"/>
      <c r="E102" s="87"/>
      <c r="F102" s="87"/>
      <c r="G102" s="87"/>
      <c r="H102" s="87"/>
      <c r="I102" s="87"/>
      <c r="J102" s="87">
        <v>163</v>
      </c>
      <c r="K102" s="87">
        <v>165</v>
      </c>
      <c r="L102" s="87">
        <v>147</v>
      </c>
      <c r="M102" s="87">
        <v>234</v>
      </c>
      <c r="N102" s="87">
        <v>209</v>
      </c>
      <c r="O102" s="87">
        <v>155</v>
      </c>
      <c r="P102" s="87">
        <v>194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 ht="18">
      <c r="A103" s="88" t="s">
        <v>158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 ht="18">
      <c r="A104" s="86" t="s">
        <v>159</v>
      </c>
      <c r="B104" s="14"/>
      <c r="C104" s="14"/>
      <c r="D104" s="14"/>
      <c r="E104" s="14"/>
      <c r="F104" s="14"/>
      <c r="G104" s="14"/>
      <c r="H104" s="14"/>
      <c r="I104" s="14"/>
      <c r="J104" s="87">
        <v>138</v>
      </c>
      <c r="K104" s="87">
        <v>124</v>
      </c>
      <c r="L104" s="87">
        <v>33</v>
      </c>
      <c r="M104" s="87">
        <v>159</v>
      </c>
      <c r="N104" s="87">
        <v>118</v>
      </c>
      <c r="O104" s="87">
        <v>97</v>
      </c>
      <c r="P104" s="87">
        <v>174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 ht="18">
      <c r="A105" s="86" t="s">
        <v>160</v>
      </c>
      <c r="B105" s="14"/>
      <c r="C105" s="14"/>
      <c r="D105" s="14"/>
      <c r="E105" s="14"/>
      <c r="F105" s="14"/>
      <c r="G105" s="14"/>
      <c r="H105" s="14"/>
      <c r="I105" s="14"/>
      <c r="J105" s="87"/>
      <c r="K105" s="87"/>
      <c r="L105" s="87"/>
      <c r="M105" s="87"/>
      <c r="N105" s="87"/>
      <c r="O105" s="87"/>
      <c r="P105" s="8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 ht="18">
      <c r="A106" s="92" t="s">
        <v>35</v>
      </c>
      <c r="B106" s="27" t="s">
        <v>35</v>
      </c>
      <c r="C106" s="27" t="s">
        <v>35</v>
      </c>
      <c r="D106" s="27" t="s">
        <v>35</v>
      </c>
      <c r="E106" s="27" t="s">
        <v>35</v>
      </c>
      <c r="F106" s="27" t="s">
        <v>35</v>
      </c>
      <c r="G106" s="27" t="s">
        <v>35</v>
      </c>
      <c r="H106" s="27" t="s">
        <v>35</v>
      </c>
      <c r="I106" s="27" t="s">
        <v>35</v>
      </c>
      <c r="J106" s="92" t="s">
        <v>35</v>
      </c>
      <c r="K106" s="92" t="s">
        <v>35</v>
      </c>
      <c r="L106" s="92" t="s">
        <v>35</v>
      </c>
      <c r="M106" s="92" t="s">
        <v>35</v>
      </c>
      <c r="N106" s="92" t="s">
        <v>35</v>
      </c>
      <c r="O106" s="92" t="s">
        <v>35</v>
      </c>
      <c r="P106" s="92" t="s">
        <v>35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 ht="18">
      <c r="A107" s="86" t="s">
        <v>161</v>
      </c>
      <c r="B107" s="14">
        <v>17589</v>
      </c>
      <c r="C107" s="14">
        <v>9969</v>
      </c>
      <c r="D107" s="14">
        <v>18432</v>
      </c>
      <c r="E107" s="14">
        <v>14400</v>
      </c>
      <c r="F107" s="14">
        <v>6400</v>
      </c>
      <c r="G107" s="14">
        <v>9200</v>
      </c>
      <c r="H107" s="14">
        <v>11900</v>
      </c>
      <c r="I107" s="14">
        <v>10000</v>
      </c>
      <c r="J107" s="17">
        <v>19954</v>
      </c>
      <c r="K107" s="17">
        <v>33500</v>
      </c>
      <c r="L107" s="17">
        <v>27220</v>
      </c>
      <c r="M107" s="17">
        <v>32800</v>
      </c>
      <c r="N107" s="17">
        <v>28750</v>
      </c>
      <c r="O107" s="17">
        <v>35060</v>
      </c>
      <c r="P107" s="17">
        <v>35540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 ht="18">
      <c r="A108" s="86" t="s">
        <v>162</v>
      </c>
      <c r="B108" s="14">
        <v>49</v>
      </c>
      <c r="C108" s="14">
        <v>36</v>
      </c>
      <c r="D108" s="14">
        <v>58</v>
      </c>
      <c r="E108" s="14">
        <v>41</v>
      </c>
      <c r="F108" s="14">
        <v>15</v>
      </c>
      <c r="G108" s="14">
        <v>29</v>
      </c>
      <c r="H108" s="14">
        <v>35</v>
      </c>
      <c r="I108" s="14">
        <v>30</v>
      </c>
      <c r="J108" s="17">
        <v>67</v>
      </c>
      <c r="K108" s="17">
        <v>100</v>
      </c>
      <c r="L108" s="17">
        <v>100</v>
      </c>
      <c r="M108" s="17">
        <v>100</v>
      </c>
      <c r="N108" s="17">
        <v>100</v>
      </c>
      <c r="O108" s="17">
        <v>100</v>
      </c>
      <c r="P108" s="17">
        <v>100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 ht="18">
      <c r="A109" s="92" t="s">
        <v>35</v>
      </c>
      <c r="B109" s="27" t="s">
        <v>35</v>
      </c>
      <c r="C109" s="27" t="s">
        <v>35</v>
      </c>
      <c r="D109" s="27" t="s">
        <v>35</v>
      </c>
      <c r="E109" s="27" t="s">
        <v>35</v>
      </c>
      <c r="F109" s="27" t="s">
        <v>35</v>
      </c>
      <c r="G109" s="27" t="s">
        <v>35</v>
      </c>
      <c r="H109" s="27" t="s">
        <v>35</v>
      </c>
      <c r="I109" s="27" t="s">
        <v>35</v>
      </c>
      <c r="J109" s="92" t="s">
        <v>35</v>
      </c>
      <c r="K109" s="92" t="s">
        <v>35</v>
      </c>
      <c r="L109" s="92" t="s">
        <v>35</v>
      </c>
      <c r="M109" s="92" t="s">
        <v>35</v>
      </c>
      <c r="N109" s="92" t="s">
        <v>35</v>
      </c>
      <c r="O109" s="92" t="s">
        <v>35</v>
      </c>
      <c r="P109" s="92" t="s">
        <v>35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 ht="18">
      <c r="A110" s="87"/>
      <c r="B110" s="14"/>
      <c r="C110" s="14"/>
      <c r="D110" s="14"/>
      <c r="E110" s="14"/>
      <c r="F110" s="14"/>
      <c r="G110" s="14"/>
      <c r="H110" s="14"/>
      <c r="I110" s="14"/>
      <c r="J110" s="87"/>
      <c r="K110" s="87"/>
      <c r="L110" s="87"/>
      <c r="M110" s="87"/>
      <c r="N110" s="87"/>
      <c r="O110" s="87"/>
      <c r="P110" s="8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 ht="18">
      <c r="A111" s="86" t="s">
        <v>163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0.15</v>
      </c>
      <c r="I111" s="14">
        <v>0.2</v>
      </c>
      <c r="J111" s="14">
        <v>0.25</v>
      </c>
      <c r="K111" s="14">
        <v>0.2</v>
      </c>
      <c r="L111" s="14">
        <v>0.25</v>
      </c>
      <c r="M111" s="14">
        <v>0.25</v>
      </c>
      <c r="N111" s="25">
        <v>0.125</v>
      </c>
      <c r="O111" s="14">
        <v>0.25</v>
      </c>
      <c r="P111" s="25">
        <v>0.125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 ht="18">
      <c r="A112" s="86" t="s">
        <v>164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0.05</v>
      </c>
      <c r="J112" s="14">
        <v>0</v>
      </c>
      <c r="K112" s="14">
        <v>0.1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 ht="18">
      <c r="A113" s="86" t="s">
        <v>165</v>
      </c>
      <c r="B113" s="14"/>
      <c r="C113" s="14"/>
      <c r="D113" s="14"/>
      <c r="E113" s="14"/>
      <c r="F113" s="14"/>
      <c r="G113" s="14"/>
      <c r="H113" s="14"/>
      <c r="I113" s="14"/>
      <c r="J113" s="87"/>
      <c r="K113" s="87"/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 ht="18">
      <c r="A114" s="86" t="s">
        <v>166</v>
      </c>
      <c r="B114" s="14"/>
      <c r="C114" s="14"/>
      <c r="D114" s="14"/>
      <c r="E114" s="14"/>
      <c r="F114" s="14"/>
      <c r="G114" s="14"/>
      <c r="H114" s="14"/>
      <c r="I114" s="14"/>
      <c r="J114" s="87"/>
      <c r="K114" s="87"/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 ht="18">
      <c r="A115" s="87"/>
      <c r="B115" s="14"/>
      <c r="C115" s="14"/>
      <c r="D115" s="14"/>
      <c r="E115" s="14"/>
      <c r="F115" s="14"/>
      <c r="G115" s="14"/>
      <c r="H115" s="14"/>
      <c r="I115" s="14"/>
      <c r="J115" s="87"/>
      <c r="K115" s="87"/>
      <c r="L115" s="87"/>
      <c r="M115" s="87"/>
      <c r="N115" s="87"/>
      <c r="O115" s="87"/>
      <c r="P115" s="8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 ht="18">
      <c r="A116" s="86" t="s">
        <v>167</v>
      </c>
      <c r="B116" s="14">
        <v>71.59</v>
      </c>
      <c r="C116" s="14">
        <v>51.15</v>
      </c>
      <c r="D116" s="14">
        <v>61.01</v>
      </c>
      <c r="E116" s="14">
        <v>68.87</v>
      </c>
      <c r="F116" s="14">
        <v>83.77</v>
      </c>
      <c r="G116" s="14">
        <v>57.66</v>
      </c>
      <c r="H116" s="14">
        <v>61.79</v>
      </c>
      <c r="I116" s="14">
        <v>71.58</v>
      </c>
      <c r="J116" s="14">
        <v>59.98</v>
      </c>
      <c r="K116" s="14">
        <v>61.05</v>
      </c>
      <c r="L116" s="14">
        <v>49.5</v>
      </c>
      <c r="M116" s="14">
        <v>61.75</v>
      </c>
      <c r="N116" s="14">
        <v>56.39</v>
      </c>
      <c r="O116" s="14">
        <v>66.64</v>
      </c>
      <c r="P116" s="14">
        <v>70.43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 ht="18">
      <c r="A117" s="86" t="s">
        <v>168</v>
      </c>
      <c r="B117" s="14"/>
      <c r="C117" s="14"/>
      <c r="D117" s="14"/>
      <c r="E117" s="14"/>
      <c r="F117" s="14">
        <v>1.13</v>
      </c>
      <c r="G117" s="14">
        <v>1.07</v>
      </c>
      <c r="H117" s="14">
        <v>1.04</v>
      </c>
      <c r="I117" s="14">
        <v>1.1</v>
      </c>
      <c r="J117" s="14">
        <v>1.02</v>
      </c>
      <c r="K117" s="14">
        <v>1.07</v>
      </c>
      <c r="L117" s="14">
        <v>0.96</v>
      </c>
      <c r="M117" s="14">
        <v>0.97</v>
      </c>
      <c r="N117" s="14">
        <v>1.01</v>
      </c>
      <c r="O117" s="14">
        <v>1.05</v>
      </c>
      <c r="P117" s="14">
        <v>1.05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 ht="18">
      <c r="A118" s="86" t="s">
        <v>169</v>
      </c>
      <c r="B118" s="14"/>
      <c r="C118" s="14"/>
      <c r="D118" s="14"/>
      <c r="E118" s="14"/>
      <c r="F118" s="14"/>
      <c r="G118" s="14"/>
      <c r="H118" s="14"/>
      <c r="I118" s="14"/>
      <c r="J118" s="87"/>
      <c r="K118" s="87"/>
      <c r="L118" s="87"/>
      <c r="M118" s="87"/>
      <c r="N118" s="87"/>
      <c r="O118" s="87"/>
      <c r="P118" s="8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 ht="18">
      <c r="A119" s="87"/>
      <c r="B119" s="14"/>
      <c r="C119" s="14"/>
      <c r="D119" s="14"/>
      <c r="E119" s="14"/>
      <c r="F119" s="14"/>
      <c r="G119" s="14"/>
      <c r="H119" s="14"/>
      <c r="I119" s="14"/>
      <c r="J119" s="87"/>
      <c r="K119" s="87"/>
      <c r="L119" s="87"/>
      <c r="M119" s="87"/>
      <c r="N119" s="87"/>
      <c r="O119" s="87"/>
      <c r="P119" s="8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 ht="18">
      <c r="A120" s="86" t="s">
        <v>170</v>
      </c>
      <c r="B120" s="14"/>
      <c r="C120" s="14"/>
      <c r="D120" s="14"/>
      <c r="E120" s="14"/>
      <c r="F120" s="14"/>
      <c r="G120" s="14"/>
      <c r="H120" s="14"/>
      <c r="I120" s="14"/>
      <c r="J120" s="87"/>
      <c r="K120" s="87"/>
      <c r="L120" s="87"/>
      <c r="M120" s="87"/>
      <c r="N120" s="87"/>
      <c r="O120" s="87"/>
      <c r="P120" s="8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 ht="18">
      <c r="A121" s="86" t="s">
        <v>171</v>
      </c>
      <c r="B121" s="14">
        <v>517</v>
      </c>
      <c r="C121" s="14">
        <v>510</v>
      </c>
      <c r="D121" s="14">
        <v>579</v>
      </c>
      <c r="E121" s="14">
        <v>549</v>
      </c>
      <c r="F121" s="14">
        <v>553</v>
      </c>
      <c r="G121" s="14">
        <v>545</v>
      </c>
      <c r="H121" s="14">
        <v>581</v>
      </c>
      <c r="I121" s="14">
        <v>580</v>
      </c>
      <c r="J121" s="87">
        <v>600</v>
      </c>
      <c r="K121" s="87">
        <v>613</v>
      </c>
      <c r="L121" s="87">
        <v>608</v>
      </c>
      <c r="M121" s="87">
        <v>593</v>
      </c>
      <c r="N121" s="87">
        <v>590</v>
      </c>
      <c r="O121" s="87">
        <v>590</v>
      </c>
      <c r="P121" s="87">
        <v>590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 ht="18">
      <c r="A122" s="86" t="s">
        <v>172</v>
      </c>
      <c r="B122" s="14"/>
      <c r="C122" s="14"/>
      <c r="D122" s="14"/>
      <c r="E122" s="14"/>
      <c r="F122" s="14"/>
      <c r="G122" s="14"/>
      <c r="H122" s="14"/>
      <c r="I122" s="14"/>
      <c r="J122" s="87">
        <v>828</v>
      </c>
      <c r="K122" s="87">
        <v>1417</v>
      </c>
      <c r="L122" s="87">
        <v>1624</v>
      </c>
      <c r="M122" s="87">
        <v>1005</v>
      </c>
      <c r="N122" s="87">
        <v>1249</v>
      </c>
      <c r="O122" s="87">
        <v>723</v>
      </c>
      <c r="P122" s="87">
        <v>451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 ht="18">
      <c r="A123" s="86" t="s">
        <v>173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87">
        <v>1207</v>
      </c>
      <c r="L123" s="87">
        <v>1654</v>
      </c>
      <c r="M123" s="87">
        <v>1022</v>
      </c>
      <c r="N123" s="87">
        <v>1266</v>
      </c>
      <c r="O123" s="87">
        <v>730</v>
      </c>
      <c r="P123" s="87">
        <v>456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 ht="18">
      <c r="A124" s="86" t="s">
        <v>174</v>
      </c>
      <c r="B124" s="14"/>
      <c r="C124" s="14"/>
      <c r="D124" s="14"/>
      <c r="E124" s="14"/>
      <c r="F124" s="14"/>
      <c r="G124" s="14"/>
      <c r="H124" s="14"/>
      <c r="I124" s="14"/>
      <c r="J124" s="87"/>
      <c r="K124" s="87">
        <v>244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 ht="18">
      <c r="A125" s="86" t="s">
        <v>175</v>
      </c>
      <c r="B125" s="14"/>
      <c r="C125" s="14"/>
      <c r="D125" s="14"/>
      <c r="E125" s="14"/>
      <c r="F125" s="14"/>
      <c r="G125" s="14"/>
      <c r="H125" s="14"/>
      <c r="I125" s="14"/>
      <c r="J125" s="87"/>
      <c r="K125" s="14">
        <v>0.37</v>
      </c>
      <c r="L125" s="14">
        <v>0.13</v>
      </c>
      <c r="M125" s="14">
        <v>0.08</v>
      </c>
      <c r="N125" s="14">
        <v>0.1</v>
      </c>
      <c r="O125" s="14">
        <v>0.07</v>
      </c>
      <c r="P125" s="14">
        <v>0.04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 ht="18">
      <c r="A126" s="86" t="s">
        <v>176</v>
      </c>
      <c r="B126" s="14"/>
      <c r="C126" s="14"/>
      <c r="D126" s="14"/>
      <c r="E126" s="14"/>
      <c r="F126" s="14"/>
      <c r="G126" s="14"/>
      <c r="H126" s="14"/>
      <c r="I126" s="14"/>
      <c r="J126" s="87"/>
      <c r="K126" s="87"/>
      <c r="L126" s="87">
        <v>365.703</v>
      </c>
      <c r="M126" s="87">
        <v>51.900999999999954</v>
      </c>
      <c r="N126" s="87">
        <v>104.75299999999993</v>
      </c>
      <c r="O126" s="87">
        <v>67.71600000000001</v>
      </c>
      <c r="P126" s="87">
        <v>41.24799999999999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 ht="18">
      <c r="A127" s="86" t="s">
        <v>177</v>
      </c>
      <c r="B127" s="14">
        <v>103</v>
      </c>
      <c r="C127" s="14">
        <v>70</v>
      </c>
      <c r="D127" s="14">
        <v>113.98</v>
      </c>
      <c r="E127" s="14">
        <v>121</v>
      </c>
      <c r="F127" s="14">
        <v>129</v>
      </c>
      <c r="G127" s="14">
        <v>86</v>
      </c>
      <c r="H127" s="14">
        <v>85</v>
      </c>
      <c r="I127" s="14">
        <v>183</v>
      </c>
      <c r="J127" s="14">
        <v>110</v>
      </c>
      <c r="K127" s="14">
        <v>73</v>
      </c>
      <c r="L127" s="14">
        <v>80</v>
      </c>
      <c r="M127" s="14">
        <v>83</v>
      </c>
      <c r="N127" s="14">
        <v>118</v>
      </c>
      <c r="O127" s="14">
        <v>105</v>
      </c>
      <c r="P127" s="14">
        <v>121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 ht="18">
      <c r="A128" s="86" t="s">
        <v>178</v>
      </c>
      <c r="B128" s="14">
        <v>0.08394499999999999</v>
      </c>
      <c r="C128" s="14">
        <v>0.05705</v>
      </c>
      <c r="D128" s="14">
        <v>0.0928937</v>
      </c>
      <c r="E128" s="14">
        <v>0.098615</v>
      </c>
      <c r="F128" s="14">
        <v>0.10513499999999999</v>
      </c>
      <c r="G128" s="14">
        <v>0.07008999999999999</v>
      </c>
      <c r="H128" s="14">
        <v>0.06927499999999999</v>
      </c>
      <c r="I128" s="14">
        <v>0.14914499999999997</v>
      </c>
      <c r="J128" s="28">
        <v>0.08965</v>
      </c>
      <c r="K128" s="28">
        <v>0.059495</v>
      </c>
      <c r="L128" s="28">
        <v>0.0652</v>
      </c>
      <c r="M128" s="28">
        <v>0.067645</v>
      </c>
      <c r="N128" s="28">
        <v>0.09616999999999999</v>
      </c>
      <c r="O128" s="28">
        <v>0.08557499999999998</v>
      </c>
      <c r="P128" s="28">
        <v>0.098615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 ht="18">
      <c r="A129" s="92" t="s">
        <v>35</v>
      </c>
      <c r="B129" s="27" t="s">
        <v>35</v>
      </c>
      <c r="C129" s="27" t="s">
        <v>35</v>
      </c>
      <c r="D129" s="27" t="s">
        <v>35</v>
      </c>
      <c r="E129" s="27" t="s">
        <v>35</v>
      </c>
      <c r="F129" s="27" t="s">
        <v>35</v>
      </c>
      <c r="G129" s="27" t="s">
        <v>35</v>
      </c>
      <c r="H129" s="27" t="s">
        <v>35</v>
      </c>
      <c r="I129" s="27" t="s">
        <v>35</v>
      </c>
      <c r="J129" s="92" t="s">
        <v>35</v>
      </c>
      <c r="K129" s="92" t="s">
        <v>35</v>
      </c>
      <c r="L129" s="92" t="s">
        <v>35</v>
      </c>
      <c r="M129" s="92" t="s">
        <v>35</v>
      </c>
      <c r="N129" s="92" t="s">
        <v>35</v>
      </c>
      <c r="O129" s="92" t="s">
        <v>35</v>
      </c>
      <c r="P129" s="92" t="s">
        <v>35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 ht="18">
      <c r="A130" s="86" t="s">
        <v>179</v>
      </c>
      <c r="B130" s="14"/>
      <c r="C130" s="14"/>
      <c r="D130" s="14"/>
      <c r="E130" s="14"/>
      <c r="F130" s="14"/>
      <c r="G130" s="14"/>
      <c r="H130" s="14"/>
      <c r="I130" s="14"/>
      <c r="J130" s="87"/>
      <c r="K130" s="87"/>
      <c r="L130" s="87"/>
      <c r="M130" s="87"/>
      <c r="N130" s="87"/>
      <c r="O130" s="87"/>
      <c r="P130" s="8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 ht="18">
      <c r="A131" s="86" t="s">
        <v>180</v>
      </c>
      <c r="B131" s="14"/>
      <c r="C131" s="14"/>
      <c r="D131" s="14"/>
      <c r="E131" s="14"/>
      <c r="F131" s="14"/>
      <c r="G131" s="14"/>
      <c r="H131" s="14"/>
      <c r="I131" s="14"/>
      <c r="J131" s="87"/>
      <c r="K131" s="87"/>
      <c r="L131" s="87">
        <v>40</v>
      </c>
      <c r="M131" s="87">
        <v>40</v>
      </c>
      <c r="N131" s="87">
        <v>40</v>
      </c>
      <c r="O131" s="87">
        <v>40</v>
      </c>
      <c r="P131" s="87">
        <v>40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 ht="18">
      <c r="A132" s="86" t="s">
        <v>181</v>
      </c>
      <c r="B132" s="14"/>
      <c r="C132" s="14"/>
      <c r="D132" s="14"/>
      <c r="E132" s="14"/>
      <c r="F132" s="14"/>
      <c r="G132" s="14"/>
      <c r="H132" s="14"/>
      <c r="I132" s="14"/>
      <c r="J132" s="87"/>
      <c r="K132" s="87"/>
      <c r="L132" s="87">
        <v>38</v>
      </c>
      <c r="M132" s="87">
        <v>39</v>
      </c>
      <c r="N132" s="87">
        <v>42</v>
      </c>
      <c r="O132" s="87">
        <v>45</v>
      </c>
      <c r="P132" s="87">
        <v>45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 ht="18">
      <c r="A133" s="86" t="s">
        <v>182</v>
      </c>
      <c r="B133" s="14"/>
      <c r="C133" s="14"/>
      <c r="D133" s="14"/>
      <c r="E133" s="14"/>
      <c r="F133" s="14"/>
      <c r="G133" s="14"/>
      <c r="H133" s="14"/>
      <c r="I133" s="14"/>
      <c r="J133" s="87"/>
      <c r="K133" s="17"/>
      <c r="L133" s="17">
        <v>3900</v>
      </c>
      <c r="M133" s="17">
        <v>52007</v>
      </c>
      <c r="N133" s="17">
        <v>54954</v>
      </c>
      <c r="O133" s="17">
        <v>56695</v>
      </c>
      <c r="P133" s="17">
        <v>56100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17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 ht="18">
      <c r="A134" s="2"/>
      <c r="B134" s="14"/>
      <c r="C134" s="14"/>
      <c r="D134" s="14"/>
      <c r="E134" s="14"/>
      <c r="F134" s="14"/>
      <c r="G134" s="14"/>
      <c r="H134" s="14"/>
      <c r="I134" s="1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 ht="18">
      <c r="A135" s="2"/>
      <c r="B135" s="14"/>
      <c r="C135" s="14"/>
      <c r="D135" s="14"/>
      <c r="E135" s="14"/>
      <c r="F135" s="14"/>
      <c r="G135" s="14"/>
      <c r="H135" s="14"/>
      <c r="I135" s="1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 ht="1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 ht="1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 ht="1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 ht="1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 ht="1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 ht="1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 ht="1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 ht="1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 ht="1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 ht="1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 ht="1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</sheetData>
  <printOptions/>
  <pageMargins left="0.6" right="0.42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0"/>
  <sheetViews>
    <sheetView showOutlineSymbols="0" zoomScaleSheetLayoutView="100" workbookViewId="0" topLeftCell="A1">
      <pane xSplit="1" ySplit="3" topLeftCell="N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"/>
    </sheetView>
  </sheetViews>
  <sheetFormatPr defaultColWidth="8.75" defaultRowHeight="18"/>
  <cols>
    <col min="1" max="1" width="31.75" style="33" customWidth="1"/>
    <col min="2" max="5" width="10.75" style="33" customWidth="1"/>
    <col min="6" max="6" width="8.75" style="33" customWidth="1"/>
    <col min="7" max="10" width="10.75" style="33" customWidth="1"/>
    <col min="11" max="16384" width="8.75" style="33" customWidth="1"/>
  </cols>
  <sheetData>
    <row r="1" spans="1:30" ht="19.5">
      <c r="A1" s="29">
        <f ca="1">NOW()</f>
        <v>39825.25829560185</v>
      </c>
      <c r="B1" s="30"/>
      <c r="C1" s="30"/>
      <c r="H1" s="31" t="s">
        <v>435</v>
      </c>
      <c r="I1" s="32"/>
      <c r="L1" s="34" t="s">
        <v>306</v>
      </c>
      <c r="M1" s="30"/>
      <c r="N1" s="30"/>
      <c r="O1" s="30"/>
      <c r="Q1" s="30"/>
      <c r="T1" s="31" t="str">
        <f>H1</f>
        <v>Upland Cotton Estimates-January 2009</v>
      </c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8">
      <c r="A3" s="36"/>
      <c r="B3" s="37" t="s">
        <v>307</v>
      </c>
      <c r="C3" s="37" t="s">
        <v>308</v>
      </c>
      <c r="D3" s="37" t="s">
        <v>309</v>
      </c>
      <c r="E3" s="37" t="s">
        <v>310</v>
      </c>
      <c r="F3" s="37" t="s">
        <v>311</v>
      </c>
      <c r="G3" s="37" t="s">
        <v>312</v>
      </c>
      <c r="H3" s="37" t="s">
        <v>313</v>
      </c>
      <c r="I3" s="37" t="s">
        <v>314</v>
      </c>
      <c r="J3" s="37" t="s">
        <v>315</v>
      </c>
      <c r="K3" s="37" t="s">
        <v>316</v>
      </c>
      <c r="L3" s="37" t="s">
        <v>317</v>
      </c>
      <c r="M3" s="37" t="s">
        <v>318</v>
      </c>
      <c r="N3" s="37" t="s">
        <v>319</v>
      </c>
      <c r="O3" s="37" t="s">
        <v>320</v>
      </c>
      <c r="P3" s="37" t="s">
        <v>321</v>
      </c>
      <c r="Q3" s="37" t="s">
        <v>322</v>
      </c>
      <c r="R3" s="37" t="s">
        <v>323</v>
      </c>
      <c r="S3" s="38" t="s">
        <v>324</v>
      </c>
      <c r="T3" s="39" t="s">
        <v>325</v>
      </c>
      <c r="U3" s="39" t="s">
        <v>326</v>
      </c>
      <c r="V3" s="39" t="s">
        <v>327</v>
      </c>
      <c r="W3" s="39" t="s">
        <v>328</v>
      </c>
      <c r="X3" s="39" t="s">
        <v>329</v>
      </c>
      <c r="Y3" s="39" t="s">
        <v>330</v>
      </c>
      <c r="Z3" s="39" t="s">
        <v>331</v>
      </c>
      <c r="AA3" s="39" t="s">
        <v>408</v>
      </c>
      <c r="AB3" s="39" t="s">
        <v>432</v>
      </c>
      <c r="AC3" s="39" t="s">
        <v>433</v>
      </c>
      <c r="AD3" s="30"/>
    </row>
    <row r="4" spans="1:30" ht="18">
      <c r="A4" s="30" t="s">
        <v>21</v>
      </c>
      <c r="B4" s="40"/>
      <c r="C4" s="40">
        <v>0.1</v>
      </c>
      <c r="D4" s="40">
        <v>0.075</v>
      </c>
      <c r="E4" s="40">
        <v>0.11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0">
        <v>0</v>
      </c>
      <c r="AC4" s="40">
        <v>0</v>
      </c>
      <c r="AD4" s="30"/>
    </row>
    <row r="5" spans="1:30" ht="18">
      <c r="A5" s="30" t="s">
        <v>332</v>
      </c>
      <c r="B5" s="42">
        <v>0.835</v>
      </c>
      <c r="C5" s="42">
        <v>0.89</v>
      </c>
      <c r="D5" s="42">
        <v>0.91</v>
      </c>
      <c r="E5" s="42">
        <v>0.89</v>
      </c>
      <c r="F5" s="42">
        <v>0.79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30"/>
    </row>
    <row r="6" spans="1:30" ht="18">
      <c r="A6" s="43" t="s">
        <v>31</v>
      </c>
      <c r="B6" s="44"/>
      <c r="C6" s="44"/>
      <c r="D6" s="44"/>
      <c r="E6" s="30"/>
      <c r="F6" s="44"/>
      <c r="G6" s="44"/>
      <c r="H6" s="4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8">
      <c r="A7" s="30" t="s">
        <v>333</v>
      </c>
      <c r="B7" s="44">
        <v>14575</v>
      </c>
      <c r="C7" s="44">
        <v>14860</v>
      </c>
      <c r="D7" s="44">
        <v>15066</v>
      </c>
      <c r="E7" s="44">
        <v>15316</v>
      </c>
      <c r="F7" s="44">
        <v>15483</v>
      </c>
      <c r="G7" s="44">
        <v>16128</v>
      </c>
      <c r="H7" s="44">
        <v>16213</v>
      </c>
      <c r="I7" s="44">
        <v>16412</v>
      </c>
      <c r="J7" s="44">
        <v>16442</v>
      </c>
      <c r="K7" s="44">
        <v>16268</v>
      </c>
      <c r="L7" s="44">
        <v>16197</v>
      </c>
      <c r="M7" s="44">
        <v>18961</v>
      </c>
      <c r="N7" s="44">
        <v>18757</v>
      </c>
      <c r="O7" s="44">
        <v>18719</v>
      </c>
      <c r="P7" s="44">
        <v>18504</v>
      </c>
      <c r="Q7" s="44">
        <v>18398</v>
      </c>
      <c r="R7" s="44">
        <v>18265</v>
      </c>
      <c r="S7" s="44">
        <v>18265</v>
      </c>
      <c r="T7" s="44">
        <f aca="true" t="shared" si="0" ref="T7:AC7">$N7</f>
        <v>18757</v>
      </c>
      <c r="U7" s="44">
        <f t="shared" si="0"/>
        <v>18757</v>
      </c>
      <c r="V7" s="44">
        <f t="shared" si="0"/>
        <v>18757</v>
      </c>
      <c r="W7" s="44">
        <f t="shared" si="0"/>
        <v>18757</v>
      </c>
      <c r="X7" s="44">
        <f t="shared" si="0"/>
        <v>18757</v>
      </c>
      <c r="Y7" s="44">
        <f t="shared" si="0"/>
        <v>18757</v>
      </c>
      <c r="Z7" s="44">
        <f t="shared" si="0"/>
        <v>18757</v>
      </c>
      <c r="AA7" s="44">
        <f t="shared" si="0"/>
        <v>18757</v>
      </c>
      <c r="AB7" s="44">
        <f t="shared" si="0"/>
        <v>18757</v>
      </c>
      <c r="AC7" s="44">
        <f t="shared" si="0"/>
        <v>18757</v>
      </c>
      <c r="AD7" s="30"/>
    </row>
    <row r="8" spans="1:30" ht="18">
      <c r="A8" s="30" t="s">
        <v>36</v>
      </c>
      <c r="B8" s="44">
        <f aca="true" t="shared" si="1" ref="B8:Z8">B9+B11+B18</f>
        <v>14852</v>
      </c>
      <c r="C8" s="44">
        <f t="shared" si="1"/>
        <v>14645</v>
      </c>
      <c r="D8" s="44">
        <f t="shared" si="1"/>
        <v>14616</v>
      </c>
      <c r="E8" s="44">
        <f t="shared" si="1"/>
        <v>15259</v>
      </c>
      <c r="F8" s="44">
        <f t="shared" si="1"/>
        <v>16924</v>
      </c>
      <c r="G8" s="44">
        <f t="shared" si="1"/>
        <v>14395</v>
      </c>
      <c r="H8" s="44">
        <f t="shared" si="1"/>
        <v>13648</v>
      </c>
      <c r="I8" s="44">
        <f t="shared" si="1"/>
        <v>13064</v>
      </c>
      <c r="J8" s="44">
        <f t="shared" si="1"/>
        <v>14584</v>
      </c>
      <c r="K8" s="44">
        <f t="shared" si="1"/>
        <v>15347</v>
      </c>
      <c r="L8" s="44">
        <f t="shared" si="1"/>
        <v>15499</v>
      </c>
      <c r="M8" s="44">
        <f t="shared" si="1"/>
        <v>13714</v>
      </c>
      <c r="N8" s="44">
        <f t="shared" si="1"/>
        <v>13301</v>
      </c>
      <c r="O8" s="44">
        <f t="shared" si="1"/>
        <v>13409</v>
      </c>
      <c r="P8" s="44">
        <f t="shared" si="1"/>
        <v>13975</v>
      </c>
      <c r="Q8" s="44">
        <f t="shared" si="1"/>
        <v>14948</v>
      </c>
      <c r="R8" s="44">
        <f t="shared" si="1"/>
        <v>10535</v>
      </c>
      <c r="S8" s="44">
        <f t="shared" si="1"/>
        <v>9296</v>
      </c>
      <c r="T8" s="44">
        <f t="shared" si="1"/>
        <v>8400</v>
      </c>
      <c r="U8" s="44">
        <f t="shared" si="1"/>
        <v>8800</v>
      </c>
      <c r="V8" s="44">
        <f t="shared" si="1"/>
        <v>9500</v>
      </c>
      <c r="W8" s="44">
        <f t="shared" si="1"/>
        <v>9700</v>
      </c>
      <c r="X8" s="44">
        <f t="shared" si="1"/>
        <v>9800</v>
      </c>
      <c r="Y8" s="44">
        <f t="shared" si="1"/>
        <v>9900</v>
      </c>
      <c r="Z8" s="44">
        <f t="shared" si="1"/>
        <v>10000</v>
      </c>
      <c r="AA8" s="44">
        <f>AA9+AA11+AA18</f>
        <v>10100</v>
      </c>
      <c r="AB8" s="44">
        <f>AB9+AB11+AB18</f>
        <v>10200</v>
      </c>
      <c r="AC8" s="44">
        <f>AC9+AC11+AC18</f>
        <v>10300</v>
      </c>
      <c r="AD8" s="30"/>
    </row>
    <row r="9" spans="1:30" ht="18">
      <c r="A9" s="30" t="s">
        <v>41</v>
      </c>
      <c r="B9" s="44">
        <v>447</v>
      </c>
      <c r="C9" s="44">
        <v>367</v>
      </c>
      <c r="D9" s="44">
        <v>366</v>
      </c>
      <c r="E9" s="44">
        <v>224</v>
      </c>
      <c r="F9" s="44">
        <v>207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30"/>
    </row>
    <row r="10" spans="1:30" ht="18">
      <c r="A10" s="30" t="s">
        <v>42</v>
      </c>
      <c r="B10" s="44">
        <v>179</v>
      </c>
      <c r="C10" s="44">
        <v>37</v>
      </c>
      <c r="D10" s="44">
        <v>11</v>
      </c>
      <c r="E10" s="44">
        <v>7</v>
      </c>
      <c r="F10" s="44">
        <v>9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30"/>
    </row>
    <row r="11" spans="1:30" ht="18">
      <c r="A11" s="30" t="s">
        <v>43</v>
      </c>
      <c r="B11" s="44">
        <v>603</v>
      </c>
      <c r="C11" s="44">
        <v>1301</v>
      </c>
      <c r="D11" s="44">
        <v>1002</v>
      </c>
      <c r="E11" s="44">
        <v>1483</v>
      </c>
      <c r="F11" s="44">
        <f>ROUND(F7*F5*F95,-1)</f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30"/>
    </row>
    <row r="12" spans="1:30" ht="18">
      <c r="A12" s="30" t="s">
        <v>47</v>
      </c>
      <c r="B12" s="44">
        <v>9416</v>
      </c>
      <c r="C12" s="44">
        <v>9630</v>
      </c>
      <c r="D12" s="44">
        <v>10348</v>
      </c>
      <c r="E12" s="44">
        <v>9827</v>
      </c>
      <c r="F12" s="44">
        <v>9987</v>
      </c>
      <c r="G12" s="44">
        <v>13709</v>
      </c>
      <c r="H12" s="44">
        <v>13782</v>
      </c>
      <c r="I12" s="44">
        <v>13951</v>
      </c>
      <c r="J12" s="44">
        <v>13921</v>
      </c>
      <c r="K12" s="44">
        <v>13828</v>
      </c>
      <c r="L12" s="44">
        <v>13768</v>
      </c>
      <c r="M12" s="44">
        <v>16117</v>
      </c>
      <c r="N12" s="44">
        <v>15943</v>
      </c>
      <c r="O12" s="44">
        <v>15912</v>
      </c>
      <c r="P12" s="44">
        <v>15729</v>
      </c>
      <c r="Q12" s="44">
        <v>15639</v>
      </c>
      <c r="R12" s="44">
        <v>15526</v>
      </c>
      <c r="S12" s="44">
        <v>15526</v>
      </c>
      <c r="T12" s="44">
        <v>15661</v>
      </c>
      <c r="U12" s="44">
        <v>15661</v>
      </c>
      <c r="V12" s="44">
        <v>15661</v>
      </c>
      <c r="W12" s="44">
        <v>15661</v>
      </c>
      <c r="X12" s="44">
        <v>15661</v>
      </c>
      <c r="Y12" s="44">
        <v>15661</v>
      </c>
      <c r="Z12" s="44">
        <v>15661</v>
      </c>
      <c r="AA12" s="44">
        <v>15661</v>
      </c>
      <c r="AB12" s="44">
        <v>15661</v>
      </c>
      <c r="AC12" s="44">
        <v>15661</v>
      </c>
      <c r="AD12" s="30"/>
    </row>
    <row r="13" spans="1:30" ht="18">
      <c r="A13" s="30" t="s">
        <v>49</v>
      </c>
      <c r="B13" s="44">
        <v>10631</v>
      </c>
      <c r="C13" s="44">
        <f>C14+C16</f>
        <v>11165</v>
      </c>
      <c r="D13" s="44">
        <f>D14+D16</f>
        <v>11937</v>
      </c>
      <c r="E13" s="44">
        <f>E14+E16</f>
        <v>12131</v>
      </c>
      <c r="F13" s="44">
        <f>F14+F16</f>
        <v>11472</v>
      </c>
      <c r="G13" s="44">
        <f aca="true" t="shared" si="2" ref="G13:L13">ROUND(0.99*G18,0)</f>
        <v>14251</v>
      </c>
      <c r="H13" s="44">
        <f t="shared" si="2"/>
        <v>13512</v>
      </c>
      <c r="I13" s="44">
        <f t="shared" si="2"/>
        <v>12933</v>
      </c>
      <c r="J13" s="44">
        <f t="shared" si="2"/>
        <v>14438</v>
      </c>
      <c r="K13" s="44">
        <f t="shared" si="2"/>
        <v>15194</v>
      </c>
      <c r="L13" s="44">
        <f t="shared" si="2"/>
        <v>15344</v>
      </c>
      <c r="M13" s="44">
        <f aca="true" t="shared" si="3" ref="M13:Z13">M18</f>
        <v>13714</v>
      </c>
      <c r="N13" s="44">
        <f t="shared" si="3"/>
        <v>13301</v>
      </c>
      <c r="O13" s="44">
        <f t="shared" si="3"/>
        <v>13409</v>
      </c>
      <c r="P13" s="44">
        <f t="shared" si="3"/>
        <v>13975</v>
      </c>
      <c r="Q13" s="44">
        <f t="shared" si="3"/>
        <v>14948</v>
      </c>
      <c r="R13" s="44">
        <f t="shared" si="3"/>
        <v>10535</v>
      </c>
      <c r="S13" s="44">
        <f t="shared" si="3"/>
        <v>9296</v>
      </c>
      <c r="T13" s="44">
        <f t="shared" si="3"/>
        <v>8400</v>
      </c>
      <c r="U13" s="44">
        <f t="shared" si="3"/>
        <v>8800</v>
      </c>
      <c r="V13" s="44">
        <f t="shared" si="3"/>
        <v>9500</v>
      </c>
      <c r="W13" s="44">
        <f t="shared" si="3"/>
        <v>9700</v>
      </c>
      <c r="X13" s="44">
        <f t="shared" si="3"/>
        <v>9800</v>
      </c>
      <c r="Y13" s="44">
        <f t="shared" si="3"/>
        <v>9900</v>
      </c>
      <c r="Z13" s="44">
        <f t="shared" si="3"/>
        <v>10000</v>
      </c>
      <c r="AA13" s="44">
        <f>AA18</f>
        <v>10100</v>
      </c>
      <c r="AB13" s="44">
        <f>AB18</f>
        <v>10200</v>
      </c>
      <c r="AC13" s="44">
        <f>AC18</f>
        <v>10300</v>
      </c>
      <c r="AD13" s="30"/>
    </row>
    <row r="14" spans="1:30" ht="18">
      <c r="A14" s="30" t="s">
        <v>50</v>
      </c>
      <c r="B14" s="44">
        <v>10214</v>
      </c>
      <c r="C14" s="44">
        <v>10718</v>
      </c>
      <c r="D14" s="44">
        <v>11442</v>
      </c>
      <c r="E14" s="44">
        <v>11623</v>
      </c>
      <c r="F14" s="44">
        <v>11021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30"/>
    </row>
    <row r="15" spans="1:30" ht="18">
      <c r="A15" s="30" t="s">
        <v>52</v>
      </c>
      <c r="B15" s="44">
        <f>B18-B16-B14</f>
        <v>3171</v>
      </c>
      <c r="C15" s="44">
        <f>C18-C16-C14</f>
        <v>1812</v>
      </c>
      <c r="D15" s="44">
        <f>D18-D16-D14</f>
        <v>1311</v>
      </c>
      <c r="E15" s="44">
        <f>E18-E16-E14</f>
        <v>1421</v>
      </c>
      <c r="F15" s="44">
        <f>F18-F16-F14</f>
        <v>5245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30"/>
    </row>
    <row r="16" spans="1:30" ht="18">
      <c r="A16" s="45" t="s">
        <v>334</v>
      </c>
      <c r="B16" s="44">
        <v>417</v>
      </c>
      <c r="C16" s="44">
        <v>447</v>
      </c>
      <c r="D16" s="44">
        <v>495</v>
      </c>
      <c r="E16" s="44">
        <v>508</v>
      </c>
      <c r="F16" s="44">
        <v>451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30"/>
    </row>
    <row r="17" spans="1:30" ht="18">
      <c r="A17" s="45" t="s">
        <v>335</v>
      </c>
      <c r="B17" s="44">
        <v>266</v>
      </c>
      <c r="C17" s="44">
        <v>319</v>
      </c>
      <c r="D17" s="44">
        <v>352</v>
      </c>
      <c r="E17" s="44">
        <v>320</v>
      </c>
      <c r="F17" s="44">
        <v>349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30"/>
    </row>
    <row r="18" spans="1:30" ht="18">
      <c r="A18" s="30" t="s">
        <v>56</v>
      </c>
      <c r="B18" s="44">
        <v>13802</v>
      </c>
      <c r="C18" s="44">
        <v>12977</v>
      </c>
      <c r="D18" s="44">
        <v>13248</v>
      </c>
      <c r="E18" s="44">
        <v>13552</v>
      </c>
      <c r="F18" s="44">
        <v>16717</v>
      </c>
      <c r="G18" s="44">
        <v>14395</v>
      </c>
      <c r="H18" s="44">
        <v>13648</v>
      </c>
      <c r="I18" s="44">
        <v>13064</v>
      </c>
      <c r="J18" s="44">
        <v>14584</v>
      </c>
      <c r="K18" s="44">
        <v>15347</v>
      </c>
      <c r="L18" s="44">
        <v>15499</v>
      </c>
      <c r="M18" s="44">
        <v>13714</v>
      </c>
      <c r="N18" s="44">
        <v>13301</v>
      </c>
      <c r="O18" s="44">
        <v>13409</v>
      </c>
      <c r="P18" s="44">
        <v>13975</v>
      </c>
      <c r="Q18" s="44">
        <v>14948</v>
      </c>
      <c r="R18" s="44">
        <v>10535</v>
      </c>
      <c r="S18" s="44">
        <v>9296</v>
      </c>
      <c r="T18" s="44">
        <v>8400</v>
      </c>
      <c r="U18" s="44">
        <v>8800</v>
      </c>
      <c r="V18" s="44">
        <v>9500</v>
      </c>
      <c r="W18" s="44">
        <v>9700</v>
      </c>
      <c r="X18" s="44">
        <v>9800</v>
      </c>
      <c r="Y18" s="44">
        <v>9900</v>
      </c>
      <c r="Z18" s="44">
        <v>10000</v>
      </c>
      <c r="AA18" s="44">
        <v>10100</v>
      </c>
      <c r="AB18" s="44">
        <v>10200</v>
      </c>
      <c r="AC18" s="44">
        <v>10300</v>
      </c>
      <c r="AD18" s="30"/>
    </row>
    <row r="19" spans="1:30" ht="18">
      <c r="A19" s="30" t="s">
        <v>58</v>
      </c>
      <c r="B19" s="44">
        <v>12716</v>
      </c>
      <c r="C19" s="44">
        <v>10863</v>
      </c>
      <c r="D19" s="44">
        <v>12594</v>
      </c>
      <c r="E19" s="44">
        <v>13156</v>
      </c>
      <c r="F19" s="44">
        <v>15796</v>
      </c>
      <c r="G19" s="44">
        <v>12632</v>
      </c>
      <c r="H19" s="44">
        <v>13157</v>
      </c>
      <c r="I19" s="44">
        <v>10449</v>
      </c>
      <c r="J19" s="44">
        <v>13138</v>
      </c>
      <c r="K19" s="44">
        <v>12884</v>
      </c>
      <c r="L19" s="44">
        <v>13560</v>
      </c>
      <c r="M19" s="44">
        <v>12174</v>
      </c>
      <c r="N19" s="44">
        <v>11826</v>
      </c>
      <c r="O19" s="44">
        <v>12809</v>
      </c>
      <c r="P19" s="44">
        <v>13534</v>
      </c>
      <c r="Q19" s="44">
        <v>12408</v>
      </c>
      <c r="R19" s="44">
        <v>10201</v>
      </c>
      <c r="S19" s="44">
        <v>7559</v>
      </c>
      <c r="T19" s="44">
        <f>ROUND(T18*0.9,-2)</f>
        <v>7600</v>
      </c>
      <c r="U19" s="44">
        <f aca="true" t="shared" si="4" ref="U19:AC19">ROUND(U18*0.9,-2)</f>
        <v>7900</v>
      </c>
      <c r="V19" s="44">
        <f t="shared" si="4"/>
        <v>8600</v>
      </c>
      <c r="W19" s="44">
        <f t="shared" si="4"/>
        <v>8700</v>
      </c>
      <c r="X19" s="44">
        <f t="shared" si="4"/>
        <v>8800</v>
      </c>
      <c r="Y19" s="44">
        <f t="shared" si="4"/>
        <v>8900</v>
      </c>
      <c r="Z19" s="44">
        <f t="shared" si="4"/>
        <v>9000</v>
      </c>
      <c r="AA19" s="44">
        <f t="shared" si="4"/>
        <v>9100</v>
      </c>
      <c r="AB19" s="44">
        <f t="shared" si="4"/>
        <v>9200</v>
      </c>
      <c r="AC19" s="44">
        <f t="shared" si="4"/>
        <v>9300</v>
      </c>
      <c r="AD19" s="30"/>
    </row>
    <row r="20" spans="1:30" ht="18">
      <c r="A20" s="30" t="s">
        <v>61</v>
      </c>
      <c r="B20" s="44">
        <v>650</v>
      </c>
      <c r="C20" s="44">
        <v>694</v>
      </c>
      <c r="D20" s="46">
        <v>601</v>
      </c>
      <c r="E20" s="44">
        <v>705</v>
      </c>
      <c r="F20" s="44">
        <v>533</v>
      </c>
      <c r="G20" s="44">
        <v>700</v>
      </c>
      <c r="H20" s="44">
        <v>666</v>
      </c>
      <c r="I20" s="44" t="e">
        <f aca="true" t="shared" si="5" ref="I20:S20">ROUND(I25*480/I19,0)</f>
        <v>#REF!</v>
      </c>
      <c r="J20" s="44" t="e">
        <f t="shared" si="5"/>
        <v>#REF!</v>
      </c>
      <c r="K20" s="44" t="e">
        <f t="shared" si="5"/>
        <v>#REF!</v>
      </c>
      <c r="L20" s="44" t="e">
        <f t="shared" si="5"/>
        <v>#REF!</v>
      </c>
      <c r="M20" s="44" t="e">
        <f t="shared" si="5"/>
        <v>#REF!</v>
      </c>
      <c r="N20" s="44" t="e">
        <f t="shared" si="5"/>
        <v>#REF!</v>
      </c>
      <c r="O20" s="44" t="e">
        <f t="shared" si="5"/>
        <v>#REF!</v>
      </c>
      <c r="P20" s="44" t="e">
        <f t="shared" si="5"/>
        <v>#REF!</v>
      </c>
      <c r="Q20" s="44" t="e">
        <f t="shared" si="5"/>
        <v>#REF!</v>
      </c>
      <c r="R20" s="44" t="e">
        <f t="shared" si="5"/>
        <v>#REF!</v>
      </c>
      <c r="S20" s="44" t="e">
        <f t="shared" si="5"/>
        <v>#REF!</v>
      </c>
      <c r="T20" s="44">
        <v>850</v>
      </c>
      <c r="U20" s="44">
        <f>T20+15</f>
        <v>865</v>
      </c>
      <c r="V20" s="44">
        <f>U20+15</f>
        <v>880</v>
      </c>
      <c r="W20" s="44">
        <f>V20+10</f>
        <v>890</v>
      </c>
      <c r="X20" s="44">
        <f aca="true" t="shared" si="6" ref="X20:AC20">W20+10</f>
        <v>900</v>
      </c>
      <c r="Y20" s="44">
        <f t="shared" si="6"/>
        <v>910</v>
      </c>
      <c r="Z20" s="44">
        <f t="shared" si="6"/>
        <v>920</v>
      </c>
      <c r="AA20" s="44">
        <f t="shared" si="6"/>
        <v>930</v>
      </c>
      <c r="AB20" s="44">
        <f t="shared" si="6"/>
        <v>940</v>
      </c>
      <c r="AC20" s="44">
        <f t="shared" si="6"/>
        <v>950</v>
      </c>
      <c r="AD20" s="30"/>
    </row>
    <row r="21" spans="1:30" ht="18">
      <c r="A21" s="30" t="s">
        <v>336</v>
      </c>
      <c r="B21" s="44"/>
      <c r="C21" s="44"/>
      <c r="D21" s="46"/>
      <c r="E21" s="44"/>
      <c r="F21" s="44"/>
      <c r="G21" s="44"/>
      <c r="H21" s="44"/>
      <c r="I21" s="44"/>
      <c r="J21" s="44"/>
      <c r="K21" s="44"/>
      <c r="L21" s="44"/>
      <c r="M21" s="44">
        <v>639</v>
      </c>
      <c r="N21" s="44">
        <v>639</v>
      </c>
      <c r="O21" s="44">
        <v>636</v>
      </c>
      <c r="P21" s="44">
        <v>635</v>
      </c>
      <c r="Q21" s="44">
        <v>634</v>
      </c>
      <c r="R21" s="44">
        <v>633</v>
      </c>
      <c r="S21" s="44">
        <v>633</v>
      </c>
      <c r="T21" s="44">
        <v>639</v>
      </c>
      <c r="U21" s="44">
        <v>639</v>
      </c>
      <c r="V21" s="44">
        <v>639</v>
      </c>
      <c r="W21" s="44">
        <v>639</v>
      </c>
      <c r="X21" s="44">
        <v>639</v>
      </c>
      <c r="Y21" s="44">
        <v>639</v>
      </c>
      <c r="Z21" s="44">
        <v>639</v>
      </c>
      <c r="AA21" s="44">
        <v>639</v>
      </c>
      <c r="AB21" s="44">
        <v>639</v>
      </c>
      <c r="AC21" s="44">
        <v>639</v>
      </c>
      <c r="AD21" s="30"/>
    </row>
    <row r="22" spans="1:30" ht="18">
      <c r="A22" s="30" t="s">
        <v>337</v>
      </c>
      <c r="B22" s="44">
        <v>590</v>
      </c>
      <c r="C22" s="44">
        <v>602</v>
      </c>
      <c r="D22" s="44">
        <v>605</v>
      </c>
      <c r="E22" s="44">
        <v>606</v>
      </c>
      <c r="F22" s="44">
        <v>600</v>
      </c>
      <c r="G22" s="44">
        <v>608</v>
      </c>
      <c r="H22" s="44">
        <v>608</v>
      </c>
      <c r="I22" s="44">
        <v>604</v>
      </c>
      <c r="J22" s="44">
        <v>604</v>
      </c>
      <c r="K22" s="47">
        <v>605</v>
      </c>
      <c r="L22" s="48">
        <v>606</v>
      </c>
      <c r="M22" s="48">
        <v>604</v>
      </c>
      <c r="N22" s="48">
        <v>605</v>
      </c>
      <c r="O22" s="48">
        <v>601</v>
      </c>
      <c r="P22" s="48">
        <v>600</v>
      </c>
      <c r="Q22" s="48">
        <v>599</v>
      </c>
      <c r="R22" s="48">
        <v>598</v>
      </c>
      <c r="S22" s="48">
        <v>598</v>
      </c>
      <c r="T22" s="48">
        <v>604</v>
      </c>
      <c r="U22" s="48">
        <v>604</v>
      </c>
      <c r="V22" s="48">
        <v>604</v>
      </c>
      <c r="W22" s="48">
        <v>604</v>
      </c>
      <c r="X22" s="48">
        <v>604</v>
      </c>
      <c r="Y22" s="48">
        <v>604</v>
      </c>
      <c r="Z22" s="48">
        <v>604</v>
      </c>
      <c r="AA22" s="48">
        <v>604</v>
      </c>
      <c r="AB22" s="48">
        <v>604</v>
      </c>
      <c r="AC22" s="48">
        <v>604</v>
      </c>
      <c r="AD22" s="30"/>
    </row>
    <row r="23" spans="1:30" ht="18">
      <c r="A23" s="49" t="s">
        <v>64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30"/>
      <c r="M23" s="30"/>
      <c r="N23" s="30"/>
      <c r="O23" s="30"/>
      <c r="P23" s="30"/>
      <c r="Q23" s="30"/>
      <c r="R23" s="4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8">
      <c r="A24" s="30" t="s">
        <v>66</v>
      </c>
      <c r="B24" s="44">
        <f>'Hist S and D'!$P$39</f>
        <v>2262</v>
      </c>
      <c r="C24" s="44">
        <f>B34</f>
        <v>3583</v>
      </c>
      <c r="D24" s="44">
        <f>C34</f>
        <v>4456</v>
      </c>
      <c r="E24" s="44">
        <f>D34</f>
        <v>3303</v>
      </c>
      <c r="F24" s="44">
        <f>$E34</f>
        <v>2588</v>
      </c>
      <c r="G24" s="44" t="e">
        <f aca="true" t="shared" si="7" ref="G24:M24">F34</f>
        <v>#REF!</v>
      </c>
      <c r="H24" s="44" t="e">
        <f t="shared" si="7"/>
        <v>#REF!</v>
      </c>
      <c r="I24" s="44" t="e">
        <f t="shared" si="7"/>
        <v>#REF!</v>
      </c>
      <c r="J24" s="44" t="e">
        <f t="shared" si="7"/>
        <v>#REF!</v>
      </c>
      <c r="K24" s="44" t="e">
        <f t="shared" si="7"/>
        <v>#REF!</v>
      </c>
      <c r="L24" s="44" t="e">
        <f t="shared" si="7"/>
        <v>#REF!</v>
      </c>
      <c r="M24" s="44" t="e">
        <f t="shared" si="7"/>
        <v>#REF!</v>
      </c>
      <c r="N24" s="46" t="e">
        <f>ROUND(+M34,0)</f>
        <v>#REF!</v>
      </c>
      <c r="O24" s="44" t="e">
        <f aca="true" t="shared" si="8" ref="O24:AA24">N34</f>
        <v>#REF!</v>
      </c>
      <c r="P24" s="44" t="e">
        <f t="shared" si="8"/>
        <v>#REF!</v>
      </c>
      <c r="Q24" s="44" t="e">
        <f t="shared" si="8"/>
        <v>#REF!</v>
      </c>
      <c r="R24" s="44" t="e">
        <f t="shared" si="8"/>
        <v>#REF!</v>
      </c>
      <c r="S24" s="44" t="e">
        <f t="shared" si="8"/>
        <v>#REF!</v>
      </c>
      <c r="T24" s="44" t="e">
        <f t="shared" si="8"/>
        <v>#REF!</v>
      </c>
      <c r="U24" s="44" t="e">
        <f t="shared" si="8"/>
        <v>#REF!</v>
      </c>
      <c r="V24" s="44" t="e">
        <f t="shared" si="8"/>
        <v>#REF!</v>
      </c>
      <c r="W24" s="44" t="e">
        <f t="shared" si="8"/>
        <v>#REF!</v>
      </c>
      <c r="X24" s="44" t="e">
        <f t="shared" si="8"/>
        <v>#REF!</v>
      </c>
      <c r="Y24" s="44" t="e">
        <f t="shared" si="8"/>
        <v>#REF!</v>
      </c>
      <c r="Z24" s="44" t="e">
        <f t="shared" si="8"/>
        <v>#REF!</v>
      </c>
      <c r="AA24" s="44" t="e">
        <f t="shared" si="8"/>
        <v>#REF!</v>
      </c>
      <c r="AB24" s="44" t="e">
        <f>AA34</f>
        <v>#REF!</v>
      </c>
      <c r="AC24" s="44" t="e">
        <f>AB34</f>
        <v>#REF!</v>
      </c>
      <c r="AD24" s="30"/>
    </row>
    <row r="25" spans="1:30" ht="18">
      <c r="A25" s="30" t="s">
        <v>68</v>
      </c>
      <c r="B25" s="44">
        <v>17216</v>
      </c>
      <c r="C25" s="44">
        <v>15710</v>
      </c>
      <c r="D25" s="44">
        <v>15764</v>
      </c>
      <c r="E25" s="44">
        <v>19324</v>
      </c>
      <c r="F25" s="44" t="e">
        <f>#REF!*1000-#REF!</f>
        <v>#REF!</v>
      </c>
      <c r="G25" s="44" t="e">
        <f>#REF!*1000-#REF!</f>
        <v>#REF!</v>
      </c>
      <c r="H25" s="44" t="e">
        <f>#REF!*1000-#REF!</f>
        <v>#REF!</v>
      </c>
      <c r="I25" s="44" t="e">
        <f>#REF!*1000-#REF!</f>
        <v>#REF!</v>
      </c>
      <c r="J25" s="44" t="e">
        <f>#REF!*1000-#REF!</f>
        <v>#REF!</v>
      </c>
      <c r="K25" s="44" t="e">
        <f>#REF!*1000-#REF!</f>
        <v>#REF!</v>
      </c>
      <c r="L25" s="44" t="e">
        <f>#REF!*1000-#REF!</f>
        <v>#REF!</v>
      </c>
      <c r="M25" s="44" t="e">
        <f>#REF!*1000-#REF!</f>
        <v>#REF!</v>
      </c>
      <c r="N25" s="46" t="e">
        <f>#REF!*1000-#REF!</f>
        <v>#REF!</v>
      </c>
      <c r="O25" s="44" t="e">
        <f>#REF!*1000-#REF!</f>
        <v>#REF!</v>
      </c>
      <c r="P25" s="44" t="e">
        <f>#REF!*1000-#REF!</f>
        <v>#REF!</v>
      </c>
      <c r="Q25" s="44" t="e">
        <f>#REF!*1000-#REF!</f>
        <v>#REF!</v>
      </c>
      <c r="R25" s="44" t="e">
        <f>#REF!*1000-#REF!</f>
        <v>#REF!</v>
      </c>
      <c r="S25" s="44" t="e">
        <f>#REF!*1000-#REF!</f>
        <v>#REF!</v>
      </c>
      <c r="T25" s="44">
        <f aca="true" t="shared" si="9" ref="T25:Z25">ROUND(T19*T20/480,-2)</f>
        <v>13500</v>
      </c>
      <c r="U25" s="44">
        <f t="shared" si="9"/>
        <v>14200</v>
      </c>
      <c r="V25" s="44">
        <f t="shared" si="9"/>
        <v>15800</v>
      </c>
      <c r="W25" s="44">
        <f t="shared" si="9"/>
        <v>16100</v>
      </c>
      <c r="X25" s="44">
        <f t="shared" si="9"/>
        <v>16500</v>
      </c>
      <c r="Y25" s="44">
        <f t="shared" si="9"/>
        <v>16900</v>
      </c>
      <c r="Z25" s="44">
        <f t="shared" si="9"/>
        <v>17300</v>
      </c>
      <c r="AA25" s="44">
        <f>ROUND(AA19*AA20/480,-2)</f>
        <v>17600</v>
      </c>
      <c r="AB25" s="44">
        <f>ROUND(AB19*AB20/480,-2)</f>
        <v>18000</v>
      </c>
      <c r="AC25" s="44">
        <f>ROUND(AC19*AC20/480,-2)</f>
        <v>18400</v>
      </c>
      <c r="AD25" s="30"/>
    </row>
    <row r="26" spans="1:30" ht="18">
      <c r="A26" s="30" t="s">
        <v>69</v>
      </c>
      <c r="B26" s="51">
        <v>13</v>
      </c>
      <c r="C26" s="51">
        <v>1</v>
      </c>
      <c r="D26" s="51">
        <v>6</v>
      </c>
      <c r="E26" s="51">
        <v>18</v>
      </c>
      <c r="F26" s="44" t="e">
        <f>#REF!*1000-#REF!</f>
        <v>#REF!</v>
      </c>
      <c r="G26" s="44" t="e">
        <f>#REF!*1000-#REF!</f>
        <v>#REF!</v>
      </c>
      <c r="H26" s="44" t="e">
        <f>#REF!*1000-#REF!</f>
        <v>#REF!</v>
      </c>
      <c r="I26" s="44" t="e">
        <f>#REF!*1000-#REF!</f>
        <v>#REF!</v>
      </c>
      <c r="J26" s="44" t="e">
        <f>#REF!*1000-#REF!</f>
        <v>#REF!</v>
      </c>
      <c r="K26" s="44" t="e">
        <f>#REF!*1000-#REF!</f>
        <v>#REF!</v>
      </c>
      <c r="L26" s="44" t="e">
        <f>#REF!*1000-#REF!</f>
        <v>#REF!</v>
      </c>
      <c r="M26" s="44" t="e">
        <f>#REF!*1000-#REF!</f>
        <v>#REF!</v>
      </c>
      <c r="N26" s="46" t="e">
        <f>#REF!*1000-#REF!</f>
        <v>#REF!</v>
      </c>
      <c r="O26" s="44" t="e">
        <f>#REF!*1000-#REF!</f>
        <v>#REF!</v>
      </c>
      <c r="P26" s="44" t="e">
        <f>#REF!*1000-#REF!</f>
        <v>#REF!</v>
      </c>
      <c r="Q26" s="44" t="e">
        <f>#REF!*1000-#REF!</f>
        <v>#REF!</v>
      </c>
      <c r="R26" s="44" t="e">
        <f>#REF!*1000-#REF!</f>
        <v>#REF!</v>
      </c>
      <c r="S26" s="44" t="e">
        <f>#REF!*1000-#REF!</f>
        <v>#REF!</v>
      </c>
      <c r="T26" s="51">
        <v>10</v>
      </c>
      <c r="U26" s="51">
        <v>10</v>
      </c>
      <c r="V26" s="51">
        <v>10</v>
      </c>
      <c r="W26" s="51">
        <v>10</v>
      </c>
      <c r="X26" s="51">
        <v>10</v>
      </c>
      <c r="Y26" s="51">
        <v>10</v>
      </c>
      <c r="Z26" s="51">
        <v>10</v>
      </c>
      <c r="AA26" s="51">
        <v>10</v>
      </c>
      <c r="AB26" s="51">
        <v>10</v>
      </c>
      <c r="AC26" s="51">
        <v>10</v>
      </c>
      <c r="AD26" s="30"/>
    </row>
    <row r="27" spans="1:30" ht="18">
      <c r="A27" s="30" t="s">
        <v>71</v>
      </c>
      <c r="B27" s="44">
        <f aca="true" t="shared" si="10" ref="B27:AA27">SUM(B24:B26)</f>
        <v>19491</v>
      </c>
      <c r="C27" s="44">
        <f t="shared" si="10"/>
        <v>19294</v>
      </c>
      <c r="D27" s="44">
        <f t="shared" si="10"/>
        <v>20226</v>
      </c>
      <c r="E27" s="44">
        <f t="shared" si="10"/>
        <v>22645</v>
      </c>
      <c r="F27" s="44" t="e">
        <f t="shared" si="10"/>
        <v>#REF!</v>
      </c>
      <c r="G27" s="44" t="e">
        <f t="shared" si="10"/>
        <v>#REF!</v>
      </c>
      <c r="H27" s="44" t="e">
        <f t="shared" si="10"/>
        <v>#REF!</v>
      </c>
      <c r="I27" s="44" t="e">
        <f t="shared" si="10"/>
        <v>#REF!</v>
      </c>
      <c r="J27" s="44" t="e">
        <f t="shared" si="10"/>
        <v>#REF!</v>
      </c>
      <c r="K27" s="44" t="e">
        <f t="shared" si="10"/>
        <v>#REF!</v>
      </c>
      <c r="L27" s="44" t="e">
        <f t="shared" si="10"/>
        <v>#REF!</v>
      </c>
      <c r="M27" s="44" t="e">
        <f t="shared" si="10"/>
        <v>#REF!</v>
      </c>
      <c r="N27" s="46" t="e">
        <f t="shared" si="10"/>
        <v>#REF!</v>
      </c>
      <c r="O27" s="44" t="e">
        <f t="shared" si="10"/>
        <v>#REF!</v>
      </c>
      <c r="P27" s="44" t="e">
        <f t="shared" si="10"/>
        <v>#REF!</v>
      </c>
      <c r="Q27" s="44" t="e">
        <f t="shared" si="10"/>
        <v>#REF!</v>
      </c>
      <c r="R27" s="44" t="e">
        <f t="shared" si="10"/>
        <v>#REF!</v>
      </c>
      <c r="S27" s="44" t="e">
        <f t="shared" si="10"/>
        <v>#REF!</v>
      </c>
      <c r="T27" s="44" t="e">
        <f t="shared" si="10"/>
        <v>#REF!</v>
      </c>
      <c r="U27" s="44" t="e">
        <f t="shared" si="10"/>
        <v>#REF!</v>
      </c>
      <c r="V27" s="44" t="e">
        <f t="shared" si="10"/>
        <v>#REF!</v>
      </c>
      <c r="W27" s="44" t="e">
        <f t="shared" si="10"/>
        <v>#REF!</v>
      </c>
      <c r="X27" s="44" t="e">
        <f t="shared" si="10"/>
        <v>#REF!</v>
      </c>
      <c r="Y27" s="44" t="e">
        <f t="shared" si="10"/>
        <v>#REF!</v>
      </c>
      <c r="Z27" s="44" t="e">
        <f t="shared" si="10"/>
        <v>#REF!</v>
      </c>
      <c r="AA27" s="44" t="e">
        <f t="shared" si="10"/>
        <v>#REF!</v>
      </c>
      <c r="AB27" s="44" t="e">
        <f>SUM(AB24:AB26)</f>
        <v>#REF!</v>
      </c>
      <c r="AC27" s="44" t="e">
        <f>SUM(AC24:AC26)</f>
        <v>#REF!</v>
      </c>
      <c r="AD27" s="30"/>
    </row>
    <row r="28" spans="1:30" ht="18">
      <c r="A28" s="30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6"/>
      <c r="O28" s="44"/>
      <c r="P28" s="44"/>
      <c r="Q28" s="44"/>
      <c r="R28" s="44"/>
      <c r="S28" s="44"/>
      <c r="T28" s="44"/>
      <c r="U28" s="44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8">
      <c r="A29" s="30" t="s">
        <v>74</v>
      </c>
      <c r="B29" s="44">
        <v>9548</v>
      </c>
      <c r="C29" s="44">
        <v>10190</v>
      </c>
      <c r="D29" s="44">
        <v>10346</v>
      </c>
      <c r="E29" s="44">
        <v>11109</v>
      </c>
      <c r="F29" s="44" t="e">
        <f>#REF!*1000-#REF!</f>
        <v>#REF!</v>
      </c>
      <c r="G29" s="44" t="e">
        <f>#REF!*1000-#REF!</f>
        <v>#REF!</v>
      </c>
      <c r="H29" s="44" t="e">
        <f>#REF!*1000-#REF!</f>
        <v>#REF!</v>
      </c>
      <c r="I29" s="44" t="e">
        <f>#REF!*1000-#REF!</f>
        <v>#REF!</v>
      </c>
      <c r="J29" s="44" t="e">
        <f>#REF!*1000-#REF!</f>
        <v>#REF!</v>
      </c>
      <c r="K29" s="44" t="e">
        <f>#REF!*1000-#REF!</f>
        <v>#REF!</v>
      </c>
      <c r="L29" s="44" t="e">
        <f>#REF!*1000-#REF!</f>
        <v>#REF!</v>
      </c>
      <c r="M29" s="44" t="e">
        <f>#REF!*1000-#REF!</f>
        <v>#REF!</v>
      </c>
      <c r="N29" s="46" t="e">
        <f>#REF!*1000-#REF!</f>
        <v>#REF!</v>
      </c>
      <c r="O29" s="44" t="e">
        <f>#REF!*1000-#REF!</f>
        <v>#REF!</v>
      </c>
      <c r="P29" s="44" t="e">
        <f>#REF!*1000-#REF!</f>
        <v>#REF!</v>
      </c>
      <c r="Q29" s="44" t="e">
        <f>#REF!*1000-#REF!</f>
        <v>#REF!</v>
      </c>
      <c r="R29" s="44" t="e">
        <f>#REF!*1000-#REF!</f>
        <v>#REF!</v>
      </c>
      <c r="S29" s="44" t="e">
        <f>#REF!*1000-#REF!</f>
        <v>#REF!</v>
      </c>
      <c r="T29" s="44" t="e">
        <f>S29-50</f>
        <v>#REF!</v>
      </c>
      <c r="U29" s="44" t="e">
        <f aca="true" t="shared" si="11" ref="U29:AC29">T29-50</f>
        <v>#REF!</v>
      </c>
      <c r="V29" s="44" t="e">
        <f t="shared" si="11"/>
        <v>#REF!</v>
      </c>
      <c r="W29" s="44" t="e">
        <f t="shared" si="11"/>
        <v>#REF!</v>
      </c>
      <c r="X29" s="44" t="e">
        <f t="shared" si="11"/>
        <v>#REF!</v>
      </c>
      <c r="Y29" s="44" t="e">
        <f t="shared" si="11"/>
        <v>#REF!</v>
      </c>
      <c r="Z29" s="44" t="e">
        <f t="shared" si="11"/>
        <v>#REF!</v>
      </c>
      <c r="AA29" s="44" t="e">
        <f t="shared" si="11"/>
        <v>#REF!</v>
      </c>
      <c r="AB29" s="44" t="e">
        <f t="shared" si="11"/>
        <v>#REF!</v>
      </c>
      <c r="AC29" s="44" t="e">
        <f t="shared" si="11"/>
        <v>#REF!</v>
      </c>
      <c r="AD29" s="30"/>
    </row>
    <row r="30" spans="1:30" ht="18">
      <c r="A30" s="30" t="s">
        <v>76</v>
      </c>
      <c r="B30" s="44">
        <v>6348</v>
      </c>
      <c r="C30" s="44">
        <v>4869</v>
      </c>
      <c r="D30" s="44">
        <v>6555</v>
      </c>
      <c r="E30" s="44">
        <v>8978</v>
      </c>
      <c r="F30" s="44" t="e">
        <f>#REF!*1000-#REF!</f>
        <v>#REF!</v>
      </c>
      <c r="G30" s="44" t="e">
        <f>#REF!*1000-#REF!</f>
        <v>#REF!</v>
      </c>
      <c r="H30" s="44" t="e">
        <f>#REF!*1000-#REF!</f>
        <v>#REF!</v>
      </c>
      <c r="I30" s="44" t="e">
        <f>#REF!*1000-#REF!</f>
        <v>#REF!</v>
      </c>
      <c r="J30" s="44" t="e">
        <f>#REF!*1000-#REF!</f>
        <v>#REF!</v>
      </c>
      <c r="K30" s="44" t="e">
        <f>#REF!*1000-#REF!</f>
        <v>#REF!</v>
      </c>
      <c r="L30" s="44" t="e">
        <f>#REF!*1000-#REF!</f>
        <v>#REF!</v>
      </c>
      <c r="M30" s="44" t="e">
        <f>#REF!*1000-#REF!</f>
        <v>#REF!</v>
      </c>
      <c r="N30" s="46" t="e">
        <f>#REF!*1000-#REF!</f>
        <v>#REF!</v>
      </c>
      <c r="O30" s="44" t="e">
        <f>#REF!*1000-#REF!</f>
        <v>#REF!</v>
      </c>
      <c r="P30" s="44" t="e">
        <f>#REF!*1000-#REF!</f>
        <v>#REF!</v>
      </c>
      <c r="Q30" s="44" t="e">
        <f>#REF!*1000-#REF!</f>
        <v>#REF!</v>
      </c>
      <c r="R30" s="44" t="e">
        <f>#REF!*1000-#REF!</f>
        <v>#REF!</v>
      </c>
      <c r="S30" s="44" t="e">
        <f>#REF!*1000-#REF!</f>
        <v>#REF!</v>
      </c>
      <c r="T30" s="44">
        <v>10800</v>
      </c>
      <c r="U30" s="44">
        <v>10500</v>
      </c>
      <c r="V30" s="44">
        <v>11000</v>
      </c>
      <c r="W30" s="44">
        <v>11700</v>
      </c>
      <c r="X30" s="44">
        <v>12200</v>
      </c>
      <c r="Y30" s="44">
        <v>12700</v>
      </c>
      <c r="Z30" s="44">
        <v>13200</v>
      </c>
      <c r="AA30" s="44">
        <v>13600</v>
      </c>
      <c r="AB30" s="44">
        <v>14000</v>
      </c>
      <c r="AC30" s="44">
        <v>14400</v>
      </c>
      <c r="AD30" s="30"/>
    </row>
    <row r="31" spans="1:30" ht="18">
      <c r="A31" s="30" t="s">
        <v>78</v>
      </c>
      <c r="B31" s="44">
        <f aca="true" t="shared" si="12" ref="B31:AA31">SUM(B29:B30)</f>
        <v>15896</v>
      </c>
      <c r="C31" s="44">
        <f t="shared" si="12"/>
        <v>15059</v>
      </c>
      <c r="D31" s="44">
        <f t="shared" si="12"/>
        <v>16901</v>
      </c>
      <c r="E31" s="44">
        <f t="shared" si="12"/>
        <v>20087</v>
      </c>
      <c r="F31" s="44" t="e">
        <f t="shared" si="12"/>
        <v>#REF!</v>
      </c>
      <c r="G31" s="44" t="e">
        <f t="shared" si="12"/>
        <v>#REF!</v>
      </c>
      <c r="H31" s="44" t="e">
        <f t="shared" si="12"/>
        <v>#REF!</v>
      </c>
      <c r="I31" s="44" t="e">
        <f t="shared" si="12"/>
        <v>#REF!</v>
      </c>
      <c r="J31" s="44" t="e">
        <f t="shared" si="12"/>
        <v>#REF!</v>
      </c>
      <c r="K31" s="44" t="e">
        <f t="shared" si="12"/>
        <v>#REF!</v>
      </c>
      <c r="L31" s="44" t="e">
        <f t="shared" si="12"/>
        <v>#REF!</v>
      </c>
      <c r="M31" s="44" t="e">
        <f t="shared" si="12"/>
        <v>#REF!</v>
      </c>
      <c r="N31" s="46" t="e">
        <f t="shared" si="12"/>
        <v>#REF!</v>
      </c>
      <c r="O31" s="44" t="e">
        <f t="shared" si="12"/>
        <v>#REF!</v>
      </c>
      <c r="P31" s="44" t="e">
        <f t="shared" si="12"/>
        <v>#REF!</v>
      </c>
      <c r="Q31" s="44" t="e">
        <f t="shared" si="12"/>
        <v>#REF!</v>
      </c>
      <c r="R31" s="44" t="e">
        <f t="shared" si="12"/>
        <v>#REF!</v>
      </c>
      <c r="S31" s="44" t="e">
        <f t="shared" si="12"/>
        <v>#REF!</v>
      </c>
      <c r="T31" s="44" t="e">
        <f t="shared" si="12"/>
        <v>#REF!</v>
      </c>
      <c r="U31" s="44" t="e">
        <f t="shared" si="12"/>
        <v>#REF!</v>
      </c>
      <c r="V31" s="44" t="e">
        <f t="shared" si="12"/>
        <v>#REF!</v>
      </c>
      <c r="W31" s="44" t="e">
        <f t="shared" si="12"/>
        <v>#REF!</v>
      </c>
      <c r="X31" s="44" t="e">
        <f t="shared" si="12"/>
        <v>#REF!</v>
      </c>
      <c r="Y31" s="44" t="e">
        <f t="shared" si="12"/>
        <v>#REF!</v>
      </c>
      <c r="Z31" s="44" t="e">
        <f t="shared" si="12"/>
        <v>#REF!</v>
      </c>
      <c r="AA31" s="44" t="e">
        <f t="shared" si="12"/>
        <v>#REF!</v>
      </c>
      <c r="AB31" s="44" t="e">
        <f>SUM(AB29:AB30)</f>
        <v>#REF!</v>
      </c>
      <c r="AC31" s="44" t="e">
        <f>SUM(AC29:AC30)</f>
        <v>#REF!</v>
      </c>
      <c r="AD31" s="30"/>
    </row>
    <row r="32" spans="1:30" ht="18">
      <c r="A32" s="30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44"/>
      <c r="N32" s="46"/>
      <c r="O32" s="44"/>
      <c r="P32" s="44"/>
      <c r="Q32" s="44"/>
      <c r="R32" s="44"/>
      <c r="S32" s="44"/>
      <c r="T32" s="44"/>
      <c r="U32" s="44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8">
      <c r="A33" s="30" t="s">
        <v>338</v>
      </c>
      <c r="B33" s="44">
        <f>B34-(B27-B31)</f>
        <v>-12</v>
      </c>
      <c r="C33" s="44">
        <f>C34-(C27-C31)</f>
        <v>221</v>
      </c>
      <c r="D33" s="44">
        <f>D34-(D27-D31)</f>
        <v>-22</v>
      </c>
      <c r="E33" s="44">
        <f>E34-(E27-E31)</f>
        <v>30</v>
      </c>
      <c r="F33" s="44" t="e">
        <f>-#REF!*1000-#REF!</f>
        <v>#REF!</v>
      </c>
      <c r="G33" s="44" t="e">
        <f>-(#REF!*1000+#REF!)</f>
        <v>#REF!</v>
      </c>
      <c r="H33" s="44" t="e">
        <f>-(#REF!*1000+#REF!)</f>
        <v>#REF!</v>
      </c>
      <c r="I33" s="44" t="e">
        <f>-(#REF!*1000+#REF!)</f>
        <v>#REF!</v>
      </c>
      <c r="J33" s="44" t="e">
        <f>-(#REF!*1000+#REF!)</f>
        <v>#REF!</v>
      </c>
      <c r="K33" s="44" t="e">
        <f>-(#REF!*1000+#REF!)</f>
        <v>#REF!</v>
      </c>
      <c r="L33" s="44" t="e">
        <f>-(#REF!*1000+#REF!)</f>
        <v>#REF!</v>
      </c>
      <c r="M33" s="44" t="e">
        <f>-(#REF!*1000+#REF!)</f>
        <v>#REF!</v>
      </c>
      <c r="N33" s="46" t="e">
        <f>-(#REF!*1000+#REF!)</f>
        <v>#REF!</v>
      </c>
      <c r="O33" s="44" t="e">
        <f>-(#REF!*1000+#REF!)</f>
        <v>#REF!</v>
      </c>
      <c r="P33" s="44" t="e">
        <f>-(#REF!*1000+#REF!)</f>
        <v>#REF!</v>
      </c>
      <c r="Q33" s="44" t="e">
        <f>-(#REF!*1000+#REF!)</f>
        <v>#REF!</v>
      </c>
      <c r="R33" s="44" t="e">
        <f>-(#REF!*1000+#REF!)</f>
        <v>#REF!</v>
      </c>
      <c r="S33" s="44" t="e">
        <f>-(#REF!*1000+#REF!)</f>
        <v>#REF!</v>
      </c>
      <c r="T33" s="44">
        <v>-10</v>
      </c>
      <c r="U33" s="44">
        <v>-10</v>
      </c>
      <c r="V33" s="44">
        <v>-10</v>
      </c>
      <c r="W33" s="44">
        <v>-10</v>
      </c>
      <c r="X33" s="44">
        <v>-10</v>
      </c>
      <c r="Y33" s="44">
        <v>-10</v>
      </c>
      <c r="Z33" s="44">
        <v>-10</v>
      </c>
      <c r="AA33" s="44">
        <v>-10</v>
      </c>
      <c r="AB33" s="44">
        <v>-10</v>
      </c>
      <c r="AC33" s="44">
        <v>-10</v>
      </c>
      <c r="AD33" s="30"/>
    </row>
    <row r="34" spans="1:30" ht="18">
      <c r="A34" s="30" t="s">
        <v>82</v>
      </c>
      <c r="B34" s="44">
        <v>3583</v>
      </c>
      <c r="C34" s="44">
        <v>4456</v>
      </c>
      <c r="D34" s="44">
        <v>3303</v>
      </c>
      <c r="E34" s="44">
        <v>2588</v>
      </c>
      <c r="F34" s="44" t="e">
        <f>#REF!*1000-#REF!</f>
        <v>#REF!</v>
      </c>
      <c r="G34" s="44" t="e">
        <f>#REF!*1000-#REF!</f>
        <v>#REF!</v>
      </c>
      <c r="H34" s="44" t="e">
        <f>#REF!*1000-#REF!</f>
        <v>#REF!</v>
      </c>
      <c r="I34" s="44" t="e">
        <f>#REF!*1000-#REF!</f>
        <v>#REF!</v>
      </c>
      <c r="J34" s="44" t="e">
        <f>#REF!*1000-#REF!</f>
        <v>#REF!</v>
      </c>
      <c r="K34" s="44" t="e">
        <f>#REF!*1000-#REF!</f>
        <v>#REF!</v>
      </c>
      <c r="L34" s="44" t="e">
        <f>#REF!*1000-#REF!</f>
        <v>#REF!</v>
      </c>
      <c r="M34" s="44" t="e">
        <f>#REF!*1000-#REF!</f>
        <v>#REF!</v>
      </c>
      <c r="N34" s="46" t="e">
        <f>[0]!WORLD*1000-#REF!</f>
        <v>#REF!</v>
      </c>
      <c r="O34" s="44" t="e">
        <f>#REF!*1000-#REF!</f>
        <v>#REF!</v>
      </c>
      <c r="P34" s="44" t="e">
        <f>#REF!*1000-#REF!</f>
        <v>#REF!</v>
      </c>
      <c r="Q34" s="44" t="e">
        <f aca="true" t="shared" si="13" ref="Q34:AA34">Q27-Q31+Q33</f>
        <v>#REF!</v>
      </c>
      <c r="R34" s="44" t="e">
        <f t="shared" si="13"/>
        <v>#REF!</v>
      </c>
      <c r="S34" s="44" t="e">
        <f t="shared" si="13"/>
        <v>#REF!</v>
      </c>
      <c r="T34" s="44" t="e">
        <f t="shared" si="13"/>
        <v>#REF!</v>
      </c>
      <c r="U34" s="44" t="e">
        <f t="shared" si="13"/>
        <v>#REF!</v>
      </c>
      <c r="V34" s="44" t="e">
        <f t="shared" si="13"/>
        <v>#REF!</v>
      </c>
      <c r="W34" s="44" t="e">
        <f t="shared" si="13"/>
        <v>#REF!</v>
      </c>
      <c r="X34" s="44" t="e">
        <f t="shared" si="13"/>
        <v>#REF!</v>
      </c>
      <c r="Y34" s="44" t="e">
        <f t="shared" si="13"/>
        <v>#REF!</v>
      </c>
      <c r="Z34" s="44" t="e">
        <f t="shared" si="13"/>
        <v>#REF!</v>
      </c>
      <c r="AA34" s="44" t="e">
        <f t="shared" si="13"/>
        <v>#REF!</v>
      </c>
      <c r="AB34" s="44" t="e">
        <f>AB27-AB31+AB33</f>
        <v>#REF!</v>
      </c>
      <c r="AC34" s="44" t="e">
        <f>AC27-AC31+AC33</f>
        <v>#REF!</v>
      </c>
      <c r="AD34" s="30"/>
    </row>
    <row r="35" spans="1:30" ht="18">
      <c r="A35" s="30" t="s">
        <v>339</v>
      </c>
      <c r="B35" s="44">
        <v>0</v>
      </c>
      <c r="C35" s="44">
        <v>8</v>
      </c>
      <c r="D35" s="44">
        <v>14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31</v>
      </c>
      <c r="K35" s="44">
        <v>6</v>
      </c>
      <c r="L35" s="44">
        <v>89</v>
      </c>
      <c r="M35" s="44">
        <v>257</v>
      </c>
      <c r="N35" s="44">
        <v>45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30"/>
    </row>
    <row r="36" spans="1:30" ht="18">
      <c r="A36" s="30" t="s">
        <v>340</v>
      </c>
      <c r="B36" s="44"/>
      <c r="C36" s="44"/>
      <c r="D36" s="44"/>
      <c r="E36" s="44"/>
      <c r="F36" s="44"/>
      <c r="G36" s="44"/>
      <c r="H36" s="44"/>
      <c r="I36" s="44"/>
      <c r="J36" s="44">
        <v>30</v>
      </c>
      <c r="K36" s="44">
        <v>2</v>
      </c>
      <c r="L36" s="44">
        <v>71</v>
      </c>
      <c r="M36" s="44">
        <v>130</v>
      </c>
      <c r="N36" s="44">
        <v>129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30"/>
    </row>
    <row r="37" spans="1:30" ht="18">
      <c r="A37" s="30" t="s">
        <v>341</v>
      </c>
      <c r="B37" s="44"/>
      <c r="C37" s="44"/>
      <c r="D37" s="44"/>
      <c r="E37" s="44"/>
      <c r="F37" s="44"/>
      <c r="G37" s="44"/>
      <c r="H37" s="44"/>
      <c r="I37" s="44"/>
      <c r="J37" s="44">
        <f>I37+J35-J36</f>
        <v>1</v>
      </c>
      <c r="K37" s="44">
        <f>J37+K35-K36</f>
        <v>5</v>
      </c>
      <c r="L37" s="44">
        <f>K37+L35-L36</f>
        <v>23</v>
      </c>
      <c r="M37" s="44">
        <f>L37+M35-M36</f>
        <v>150</v>
      </c>
      <c r="N37" s="44">
        <f>M37+N35-N36</f>
        <v>66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30"/>
    </row>
    <row r="38" spans="1:30" ht="18">
      <c r="A38" s="30" t="s">
        <v>85</v>
      </c>
      <c r="B38" s="44">
        <v>297</v>
      </c>
      <c r="C38" s="44">
        <v>558</v>
      </c>
      <c r="D38" s="44">
        <v>179</v>
      </c>
      <c r="E38" s="44">
        <v>165</v>
      </c>
      <c r="F38" s="44">
        <v>312</v>
      </c>
      <c r="G38" s="44">
        <v>311</v>
      </c>
      <c r="H38" s="44">
        <v>59</v>
      </c>
      <c r="I38" s="44">
        <v>321</v>
      </c>
      <c r="J38" s="44">
        <v>68</v>
      </c>
      <c r="K38" s="44">
        <v>1460</v>
      </c>
      <c r="L38" s="44">
        <v>665</v>
      </c>
      <c r="M38" s="44">
        <v>668</v>
      </c>
      <c r="N38" s="44">
        <v>1371</v>
      </c>
      <c r="O38" s="44">
        <v>301</v>
      </c>
      <c r="P38" s="44">
        <v>1185</v>
      </c>
      <c r="Q38" s="44">
        <v>857</v>
      </c>
      <c r="R38" s="44">
        <v>3819</v>
      </c>
      <c r="S38" s="44" t="e">
        <f aca="true" t="shared" si="14" ref="S38:AA38">MAX(ROUND(S34-S37-(0.25*S31),-1),100)</f>
        <v>#REF!</v>
      </c>
      <c r="T38" s="44" t="e">
        <f t="shared" si="14"/>
        <v>#REF!</v>
      </c>
      <c r="U38" s="44" t="e">
        <f t="shared" si="14"/>
        <v>#REF!</v>
      </c>
      <c r="V38" s="44" t="e">
        <f t="shared" si="14"/>
        <v>#REF!</v>
      </c>
      <c r="W38" s="44" t="e">
        <f t="shared" si="14"/>
        <v>#REF!</v>
      </c>
      <c r="X38" s="44" t="e">
        <f t="shared" si="14"/>
        <v>#REF!</v>
      </c>
      <c r="Y38" s="44" t="e">
        <f t="shared" si="14"/>
        <v>#REF!</v>
      </c>
      <c r="Z38" s="44" t="e">
        <f t="shared" si="14"/>
        <v>#REF!</v>
      </c>
      <c r="AA38" s="44" t="e">
        <f t="shared" si="14"/>
        <v>#REF!</v>
      </c>
      <c r="AB38" s="44" t="e">
        <f>MAX(ROUND(AB34-AB37-(0.25*AB31),-1),100)</f>
        <v>#REF!</v>
      </c>
      <c r="AC38" s="44" t="e">
        <f>MAX(ROUND(AC34-AC37-(0.25*AC31),-1),100)</f>
        <v>#REF!</v>
      </c>
      <c r="AD38" s="30"/>
    </row>
    <row r="39" spans="1:30" ht="18">
      <c r="A39" s="30" t="s">
        <v>87</v>
      </c>
      <c r="B39" s="44">
        <f>B34-B38</f>
        <v>3286</v>
      </c>
      <c r="C39" s="44">
        <f aca="true" t="shared" si="15" ref="C39:AA39">C34-C37-C38</f>
        <v>3898</v>
      </c>
      <c r="D39" s="44">
        <f t="shared" si="15"/>
        <v>3124</v>
      </c>
      <c r="E39" s="44">
        <f t="shared" si="15"/>
        <v>2423</v>
      </c>
      <c r="F39" s="44" t="e">
        <f t="shared" si="15"/>
        <v>#REF!</v>
      </c>
      <c r="G39" s="44" t="e">
        <f t="shared" si="15"/>
        <v>#REF!</v>
      </c>
      <c r="H39" s="44" t="e">
        <f t="shared" si="15"/>
        <v>#REF!</v>
      </c>
      <c r="I39" s="44" t="e">
        <f t="shared" si="15"/>
        <v>#REF!</v>
      </c>
      <c r="J39" s="44" t="e">
        <f t="shared" si="15"/>
        <v>#REF!</v>
      </c>
      <c r="K39" s="44" t="e">
        <f t="shared" si="15"/>
        <v>#REF!</v>
      </c>
      <c r="L39" s="44" t="e">
        <f t="shared" si="15"/>
        <v>#REF!</v>
      </c>
      <c r="M39" s="44" t="e">
        <f t="shared" si="15"/>
        <v>#REF!</v>
      </c>
      <c r="N39" s="44" t="e">
        <f t="shared" si="15"/>
        <v>#REF!</v>
      </c>
      <c r="O39" s="44" t="e">
        <f t="shared" si="15"/>
        <v>#REF!</v>
      </c>
      <c r="P39" s="44" t="e">
        <f t="shared" si="15"/>
        <v>#REF!</v>
      </c>
      <c r="Q39" s="44" t="e">
        <f t="shared" si="15"/>
        <v>#REF!</v>
      </c>
      <c r="R39" s="44" t="e">
        <f t="shared" si="15"/>
        <v>#REF!</v>
      </c>
      <c r="S39" s="44" t="e">
        <f t="shared" si="15"/>
        <v>#REF!</v>
      </c>
      <c r="T39" s="44" t="e">
        <f t="shared" si="15"/>
        <v>#REF!</v>
      </c>
      <c r="U39" s="44" t="e">
        <f t="shared" si="15"/>
        <v>#REF!</v>
      </c>
      <c r="V39" s="44" t="e">
        <f t="shared" si="15"/>
        <v>#REF!</v>
      </c>
      <c r="W39" s="44" t="e">
        <f t="shared" si="15"/>
        <v>#REF!</v>
      </c>
      <c r="X39" s="44" t="e">
        <f t="shared" si="15"/>
        <v>#REF!</v>
      </c>
      <c r="Y39" s="44" t="e">
        <f t="shared" si="15"/>
        <v>#REF!</v>
      </c>
      <c r="Z39" s="44" t="e">
        <f t="shared" si="15"/>
        <v>#REF!</v>
      </c>
      <c r="AA39" s="44" t="e">
        <f t="shared" si="15"/>
        <v>#REF!</v>
      </c>
      <c r="AB39" s="44" t="e">
        <f>AB34-AB37-AB38</f>
        <v>#REF!</v>
      </c>
      <c r="AC39" s="44" t="e">
        <f>AC34-AC37-AC38</f>
        <v>#REF!</v>
      </c>
      <c r="AD39" s="30"/>
    </row>
    <row r="40" spans="1:30" ht="18">
      <c r="A40" s="95" t="s">
        <v>88</v>
      </c>
      <c r="B40" s="96">
        <f aca="true" t="shared" si="16" ref="B40:Z40">B34/B31</f>
        <v>0.22540261701056868</v>
      </c>
      <c r="C40" s="96">
        <f t="shared" si="16"/>
        <v>0.29590278238926887</v>
      </c>
      <c r="D40" s="96">
        <f t="shared" si="16"/>
        <v>0.19543222294538784</v>
      </c>
      <c r="E40" s="96">
        <f t="shared" si="16"/>
        <v>0.1288395479663464</v>
      </c>
      <c r="F40" s="96" t="e">
        <f t="shared" si="16"/>
        <v>#REF!</v>
      </c>
      <c r="G40" s="96" t="e">
        <f t="shared" si="16"/>
        <v>#REF!</v>
      </c>
      <c r="H40" s="96" t="e">
        <f t="shared" si="16"/>
        <v>#REF!</v>
      </c>
      <c r="I40" s="96" t="e">
        <f t="shared" si="16"/>
        <v>#REF!</v>
      </c>
      <c r="J40" s="96" t="e">
        <f t="shared" si="16"/>
        <v>#REF!</v>
      </c>
      <c r="K40" s="96" t="e">
        <f t="shared" si="16"/>
        <v>#REF!</v>
      </c>
      <c r="L40" s="96" t="e">
        <f t="shared" si="16"/>
        <v>#REF!</v>
      </c>
      <c r="M40" s="96" t="e">
        <f t="shared" si="16"/>
        <v>#REF!</v>
      </c>
      <c r="N40" s="96" t="e">
        <f t="shared" si="16"/>
        <v>#REF!</v>
      </c>
      <c r="O40" s="96" t="e">
        <f t="shared" si="16"/>
        <v>#REF!</v>
      </c>
      <c r="P40" s="96" t="e">
        <f t="shared" si="16"/>
        <v>#REF!</v>
      </c>
      <c r="Q40" s="96" t="e">
        <f t="shared" si="16"/>
        <v>#REF!</v>
      </c>
      <c r="R40" s="96" t="e">
        <f t="shared" si="16"/>
        <v>#REF!</v>
      </c>
      <c r="S40" s="96" t="e">
        <f t="shared" si="16"/>
        <v>#REF!</v>
      </c>
      <c r="T40" s="96" t="e">
        <f t="shared" si="16"/>
        <v>#REF!</v>
      </c>
      <c r="U40" s="96" t="e">
        <f t="shared" si="16"/>
        <v>#REF!</v>
      </c>
      <c r="V40" s="96" t="e">
        <f t="shared" si="16"/>
        <v>#REF!</v>
      </c>
      <c r="W40" s="96" t="e">
        <f t="shared" si="16"/>
        <v>#REF!</v>
      </c>
      <c r="X40" s="96" t="e">
        <f t="shared" si="16"/>
        <v>#REF!</v>
      </c>
      <c r="Y40" s="96" t="e">
        <f t="shared" si="16"/>
        <v>#REF!</v>
      </c>
      <c r="Z40" s="96" t="e">
        <f t="shared" si="16"/>
        <v>#REF!</v>
      </c>
      <c r="AA40" s="96" t="e">
        <f>AA34/AA31</f>
        <v>#REF!</v>
      </c>
      <c r="AB40" s="96" t="e">
        <f>AB34/AB31</f>
        <v>#REF!</v>
      </c>
      <c r="AC40" s="96" t="e">
        <f>AC34/AC31</f>
        <v>#REF!</v>
      </c>
      <c r="AD40" s="30"/>
    </row>
    <row r="41" spans="1:30" ht="18">
      <c r="A41" s="94" t="s">
        <v>407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30"/>
    </row>
    <row r="42" spans="1:30" ht="18">
      <c r="A42" s="30" t="s">
        <v>89</v>
      </c>
      <c r="B42" s="54">
        <v>72.9</v>
      </c>
      <c r="C42" s="54">
        <v>72.9</v>
      </c>
      <c r="D42" s="54">
        <v>72.9</v>
      </c>
      <c r="E42" s="54">
        <v>72.9</v>
      </c>
      <c r="F42" s="54">
        <v>72.9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72.4</v>
      </c>
      <c r="N42" s="54">
        <v>72.4</v>
      </c>
      <c r="O42" s="54">
        <v>72.4</v>
      </c>
      <c r="P42" s="54">
        <v>72.4</v>
      </c>
      <c r="Q42" s="54">
        <v>72.4</v>
      </c>
      <c r="R42" s="54">
        <v>72.4</v>
      </c>
      <c r="S42" s="54">
        <v>71.25</v>
      </c>
      <c r="T42" s="54">
        <v>71.25</v>
      </c>
      <c r="U42" s="54">
        <v>71.25</v>
      </c>
      <c r="V42" s="54">
        <v>71.25</v>
      </c>
      <c r="W42" s="54">
        <v>71.25</v>
      </c>
      <c r="X42" s="54">
        <v>71.25</v>
      </c>
      <c r="Y42" s="54">
        <v>71.25</v>
      </c>
      <c r="Z42" s="54">
        <v>71.25</v>
      </c>
      <c r="AA42" s="54">
        <v>71.25</v>
      </c>
      <c r="AB42" s="54">
        <v>71.25</v>
      </c>
      <c r="AC42" s="54">
        <v>71.25</v>
      </c>
      <c r="AD42" s="30"/>
    </row>
    <row r="43" spans="1:30" ht="18">
      <c r="A43" s="30" t="s">
        <v>90</v>
      </c>
      <c r="B43" s="54">
        <v>62.8</v>
      </c>
      <c r="C43" s="54">
        <v>52.6</v>
      </c>
      <c r="D43" s="54">
        <v>54.3</v>
      </c>
      <c r="E43" s="54">
        <v>68.3</v>
      </c>
      <c r="F43" s="54">
        <v>76.8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30"/>
    </row>
    <row r="44" spans="1:30" ht="18">
      <c r="A44" s="30" t="s">
        <v>342</v>
      </c>
      <c r="B44" s="54">
        <f>MAX(+B42-MAX(B43,B49),0)</f>
        <v>10.100000000000009</v>
      </c>
      <c r="C44" s="54">
        <f>MAX(+C42-MAX(C43,C49),0)</f>
        <v>20.300000000000004</v>
      </c>
      <c r="D44" s="54">
        <f>MAX(+D42-MAX(D43,D49),0)</f>
        <v>18.60000000000001</v>
      </c>
      <c r="E44" s="54">
        <f>MAX(+E42-MAX(E43,E49),0)</f>
        <v>4.6000000000000085</v>
      </c>
      <c r="F44" s="54">
        <f>MAX(+F42-MAX(F43,F49),0)</f>
        <v>0</v>
      </c>
      <c r="G44" s="54">
        <v>8.882</v>
      </c>
      <c r="H44" s="54">
        <f>ROUND('Curr Farm Inc'!$H$5/(H12*H22)*100,1)</f>
        <v>7.1</v>
      </c>
      <c r="I44" s="54">
        <v>8.17</v>
      </c>
      <c r="J44" s="54">
        <v>7.88</v>
      </c>
      <c r="K44" s="54">
        <v>7.33</v>
      </c>
      <c r="L44" s="54">
        <v>5.99</v>
      </c>
      <c r="M44" s="54">
        <v>6.67</v>
      </c>
      <c r="N44" s="54">
        <v>6.67</v>
      </c>
      <c r="O44" s="54">
        <v>6.67</v>
      </c>
      <c r="P44" s="54">
        <v>6.67</v>
      </c>
      <c r="Q44" s="54">
        <v>6.67</v>
      </c>
      <c r="R44" s="54">
        <v>6.67</v>
      </c>
      <c r="S44" s="54">
        <v>6.67</v>
      </c>
      <c r="T44" s="54">
        <v>6.67</v>
      </c>
      <c r="U44" s="54">
        <v>6.67</v>
      </c>
      <c r="V44" s="54">
        <v>6.67</v>
      </c>
      <c r="W44" s="54">
        <v>6.67</v>
      </c>
      <c r="X44" s="54">
        <v>6.67</v>
      </c>
      <c r="Y44" s="54">
        <v>6.67</v>
      </c>
      <c r="Z44" s="54">
        <v>6.67</v>
      </c>
      <c r="AA44" s="54">
        <v>6.67</v>
      </c>
      <c r="AB44" s="54">
        <v>6.67</v>
      </c>
      <c r="AC44" s="54">
        <v>6.67</v>
      </c>
      <c r="AD44" s="30"/>
    </row>
    <row r="45" spans="1:30" ht="18">
      <c r="A45" s="30" t="s">
        <v>343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>
        <f aca="true" t="shared" si="17" ref="M45:AA45">MAX((M42-M44-MAX(M49,M53)),0)</f>
        <v>13.730000000000004</v>
      </c>
      <c r="N45" s="54">
        <f t="shared" si="17"/>
        <v>3.930000000000007</v>
      </c>
      <c r="O45" s="54">
        <f t="shared" si="17"/>
        <v>13.730000000000004</v>
      </c>
      <c r="P45" s="54">
        <f t="shared" si="17"/>
        <v>13.730000000000004</v>
      </c>
      <c r="Q45" s="54">
        <f t="shared" si="17"/>
        <v>13.730000000000004</v>
      </c>
      <c r="R45" s="54">
        <f t="shared" si="17"/>
        <v>6.430000000000007</v>
      </c>
      <c r="S45" s="54">
        <f t="shared" si="17"/>
        <v>12.579999999999998</v>
      </c>
      <c r="T45" s="54">
        <f t="shared" si="17"/>
        <v>12.579999999999998</v>
      </c>
      <c r="U45" s="54">
        <f t="shared" si="17"/>
        <v>9.579999999999998</v>
      </c>
      <c r="V45" s="54">
        <f t="shared" si="17"/>
        <v>4.579999999999998</v>
      </c>
      <c r="W45" s="54">
        <f t="shared" si="17"/>
        <v>4.079999999999998</v>
      </c>
      <c r="X45" s="54">
        <f t="shared" si="17"/>
        <v>3.5799999999999983</v>
      </c>
      <c r="Y45" s="54">
        <f t="shared" si="17"/>
        <v>3.0799999999999983</v>
      </c>
      <c r="Z45" s="54">
        <f t="shared" si="17"/>
        <v>2.5799999999999983</v>
      </c>
      <c r="AA45" s="54">
        <f t="shared" si="17"/>
        <v>2.0799999999999983</v>
      </c>
      <c r="AB45" s="54">
        <f>MAX((AB42-AB44-MAX(AB49,AB53)),0)</f>
        <v>1.5799999999999983</v>
      </c>
      <c r="AC45" s="54">
        <f>MAX((AC42-AC44-MAX(AC49,AC53)),0)</f>
        <v>1.0799999999999983</v>
      </c>
      <c r="AD45" s="30"/>
    </row>
    <row r="46" spans="1:30" ht="18">
      <c r="A46" s="30" t="s">
        <v>92</v>
      </c>
      <c r="B46" s="54">
        <f aca="true" t="shared" si="18" ref="B46:G46">MAX(B49-B51,0)</f>
        <v>7.220000000000006</v>
      </c>
      <c r="C46" s="54">
        <f t="shared" si="18"/>
        <v>11.880000000000003</v>
      </c>
      <c r="D46" s="54">
        <f t="shared" si="18"/>
        <v>8.11</v>
      </c>
      <c r="E46" s="54">
        <f t="shared" si="18"/>
        <v>0</v>
      </c>
      <c r="F46" s="54">
        <f t="shared" si="18"/>
        <v>0</v>
      </c>
      <c r="G46" s="54">
        <f t="shared" si="18"/>
        <v>0</v>
      </c>
      <c r="H46" s="54">
        <v>1.84</v>
      </c>
      <c r="I46" s="54">
        <v>9</v>
      </c>
      <c r="J46" s="54">
        <v>20</v>
      </c>
      <c r="K46" s="54">
        <v>4</v>
      </c>
      <c r="L46" s="54">
        <f aca="true" t="shared" si="19" ref="L46:Z46">MAX(L49-L51,0)</f>
        <v>26.950000000000003</v>
      </c>
      <c r="M46" s="54">
        <f t="shared" si="19"/>
        <v>10.96</v>
      </c>
      <c r="N46" s="54">
        <f t="shared" si="19"/>
        <v>0</v>
      </c>
      <c r="O46" s="54">
        <f t="shared" si="19"/>
        <v>15</v>
      </c>
      <c r="P46" s="54">
        <f t="shared" si="19"/>
        <v>12</v>
      </c>
      <c r="Q46" s="54" t="e">
        <f t="shared" si="19"/>
        <v>#REF!</v>
      </c>
      <c r="R46" s="54" t="e">
        <f t="shared" si="19"/>
        <v>#REF!</v>
      </c>
      <c r="S46" s="54" t="e">
        <f t="shared" si="19"/>
        <v>#REF!</v>
      </c>
      <c r="T46" s="54" t="e">
        <f t="shared" si="19"/>
        <v>#REF!</v>
      </c>
      <c r="U46" s="54" t="e">
        <f t="shared" si="19"/>
        <v>#REF!</v>
      </c>
      <c r="V46" s="54" t="e">
        <f t="shared" si="19"/>
        <v>#REF!</v>
      </c>
      <c r="W46" s="54" t="e">
        <f t="shared" si="19"/>
        <v>#REF!</v>
      </c>
      <c r="X46" s="54" t="e">
        <f t="shared" si="19"/>
        <v>#REF!</v>
      </c>
      <c r="Y46" s="54" t="e">
        <f t="shared" si="19"/>
        <v>#REF!</v>
      </c>
      <c r="Z46" s="54" t="e">
        <f t="shared" si="19"/>
        <v>#REF!</v>
      </c>
      <c r="AA46" s="54" t="e">
        <f>MAX(AA49-AA51,0)</f>
        <v>#REF!</v>
      </c>
      <c r="AB46" s="54" t="e">
        <f>MAX(AB49-AB51,0)</f>
        <v>#REF!</v>
      </c>
      <c r="AC46" s="54" t="e">
        <f>MAX(AC49-AC51,0)</f>
        <v>#REF!</v>
      </c>
      <c r="AD46" s="30"/>
    </row>
    <row r="47" spans="1:30" ht="18">
      <c r="A47" s="30" t="s">
        <v>93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30"/>
    </row>
    <row r="48" spans="1:30" ht="18">
      <c r="A48" s="30" t="s">
        <v>94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30"/>
    </row>
    <row r="49" spans="1:30" ht="18">
      <c r="A49" s="30" t="s">
        <v>95</v>
      </c>
      <c r="B49" s="54">
        <v>50.77</v>
      </c>
      <c r="C49" s="54">
        <v>52.35</v>
      </c>
      <c r="D49" s="54">
        <v>52.35</v>
      </c>
      <c r="E49" s="54">
        <f>ROUND(MAX((0.85*((SUM('Hist S and D'!$N$116,'Hist S and D'!$O$116,'Hist S and D'!$P$116,B100,C100)-MAX('Hist S and D'!$N$116,'Hist S and D'!$O$116,'Hist S and D'!$P$116,B100,C100)-MIN('Hist S and D'!$N$116,'Hist S and D'!$O$116,'Hist S and D'!$P$116,B100,C100))/3)),(0.95*D49),50),2)</f>
        <v>50</v>
      </c>
      <c r="F49" s="54">
        <v>51.92</v>
      </c>
      <c r="G49" s="54">
        <f>ROUND(MIN((0.85*((SUM('Hist S and D'!$P$116,B100,C100,D100,E100)-MAX('Hist S and D'!$P$116,B100,C100,D100,E100)-MIN('Hist S and D'!$P$116,B100,C100,D100,E100))/3)),51.92),2)</f>
        <v>51.92</v>
      </c>
      <c r="H49" s="54">
        <f>ROUND(MIN((0.85*((SUM(B100,C100,D100,E100,F100)-MAX(B100,C100,D100,E100,F100)-MIN(B100,C100,D100,E100,F100))/3)),51.92),2)</f>
        <v>51.92</v>
      </c>
      <c r="I49" s="54">
        <f>ROUND(MIN((0.85*((SUM(C100,D100,E100,F100,G100)-MAX(C100,D100,E100,F100,G100)-MIN(C100,D100,E100,F100,G100))/3)),51.92),2)</f>
        <v>51.92</v>
      </c>
      <c r="J49" s="54">
        <f>ROUND(MIN((0.85*((SUM(D100,E100,F100,G100,H100)-MAX(D100,E100,F100,G100,H100)-MIN(D100,E100,F100,G100,H100))/3)),51.92),2)</f>
        <v>51.92</v>
      </c>
      <c r="K49" s="54">
        <v>51.92</v>
      </c>
      <c r="L49" s="54">
        <v>51.92</v>
      </c>
      <c r="M49" s="54">
        <v>52</v>
      </c>
      <c r="N49" s="54">
        <v>52</v>
      </c>
      <c r="O49" s="54">
        <v>52</v>
      </c>
      <c r="P49" s="54">
        <v>52</v>
      </c>
      <c r="Q49" s="54">
        <v>52</v>
      </c>
      <c r="R49" s="54">
        <v>52</v>
      </c>
      <c r="S49" s="54">
        <v>52</v>
      </c>
      <c r="T49" s="54">
        <v>52</v>
      </c>
      <c r="U49" s="54">
        <v>52</v>
      </c>
      <c r="V49" s="54">
        <v>52</v>
      </c>
      <c r="W49" s="54">
        <v>52</v>
      </c>
      <c r="X49" s="54">
        <v>52</v>
      </c>
      <c r="Y49" s="54">
        <v>52</v>
      </c>
      <c r="Z49" s="54">
        <v>52</v>
      </c>
      <c r="AA49" s="54">
        <v>52</v>
      </c>
      <c r="AB49" s="54">
        <v>52</v>
      </c>
      <c r="AC49" s="54">
        <v>52</v>
      </c>
      <c r="AD49" s="30"/>
    </row>
    <row r="50" spans="1:30" ht="18">
      <c r="A50" s="30" t="s">
        <v>344</v>
      </c>
      <c r="B50" s="54">
        <f>B54</f>
        <v>47.23</v>
      </c>
      <c r="C50" s="54">
        <f>C54</f>
        <v>43.81</v>
      </c>
      <c r="D50" s="54">
        <v>56.57</v>
      </c>
      <c r="E50" s="54">
        <v>76.13</v>
      </c>
      <c r="F50" s="54">
        <v>71.06</v>
      </c>
      <c r="G50" s="54">
        <v>64.16</v>
      </c>
      <c r="H50" s="54">
        <f>H54</f>
        <v>58.23</v>
      </c>
      <c r="I50" s="54">
        <v>44.62</v>
      </c>
      <c r="J50" s="54">
        <v>38.92</v>
      </c>
      <c r="K50" s="54">
        <v>43.62</v>
      </c>
      <c r="L50" s="54">
        <v>28.51</v>
      </c>
      <c r="M50" s="54">
        <v>43.25</v>
      </c>
      <c r="N50" s="54">
        <f aca="true" t="shared" si="20" ref="N50:AC50">MIN(N54,N49)</f>
        <v>52</v>
      </c>
      <c r="O50" s="54">
        <f t="shared" si="20"/>
        <v>38.91</v>
      </c>
      <c r="P50" s="54">
        <f t="shared" si="20"/>
        <v>42.06</v>
      </c>
      <c r="Q50" s="54" t="e">
        <f t="shared" si="20"/>
        <v>#REF!</v>
      </c>
      <c r="R50" s="54" t="e">
        <f t="shared" si="20"/>
        <v>#REF!</v>
      </c>
      <c r="S50" s="54" t="e">
        <f t="shared" si="20"/>
        <v>#REF!</v>
      </c>
      <c r="T50" s="54" t="e">
        <f t="shared" si="20"/>
        <v>#REF!</v>
      </c>
      <c r="U50" s="54" t="e">
        <f t="shared" si="20"/>
        <v>#REF!</v>
      </c>
      <c r="V50" s="54" t="e">
        <f t="shared" si="20"/>
        <v>#REF!</v>
      </c>
      <c r="W50" s="54" t="e">
        <f t="shared" si="20"/>
        <v>#REF!</v>
      </c>
      <c r="X50" s="54" t="e">
        <f t="shared" si="20"/>
        <v>#REF!</v>
      </c>
      <c r="Y50" s="54" t="e">
        <f t="shared" si="20"/>
        <v>#REF!</v>
      </c>
      <c r="Z50" s="54" t="e">
        <f t="shared" si="20"/>
        <v>#REF!</v>
      </c>
      <c r="AA50" s="54" t="e">
        <f t="shared" si="20"/>
        <v>#REF!</v>
      </c>
      <c r="AB50" s="54" t="e">
        <f t="shared" si="20"/>
        <v>#REF!</v>
      </c>
      <c r="AC50" s="54" t="e">
        <f t="shared" si="20"/>
        <v>#REF!</v>
      </c>
      <c r="AD50" s="30"/>
    </row>
    <row r="51" spans="1:30" ht="18">
      <c r="A51" s="30" t="s">
        <v>97</v>
      </c>
      <c r="B51" s="54">
        <v>43.55</v>
      </c>
      <c r="C51" s="54">
        <v>40.47</v>
      </c>
      <c r="D51" s="54">
        <v>44.24</v>
      </c>
      <c r="E51" s="54">
        <v>50</v>
      </c>
      <c r="F51" s="54">
        <v>51.92</v>
      </c>
      <c r="G51" s="54">
        <v>51.92</v>
      </c>
      <c r="H51" s="54">
        <v>51.59</v>
      </c>
      <c r="I51" s="54">
        <v>43.66</v>
      </c>
      <c r="J51" s="54">
        <v>32.26</v>
      </c>
      <c r="K51" s="54">
        <v>44.81</v>
      </c>
      <c r="L51" s="54">
        <v>24.97</v>
      </c>
      <c r="M51" s="54">
        <v>41.04</v>
      </c>
      <c r="N51" s="54">
        <v>52</v>
      </c>
      <c r="O51" s="54">
        <f aca="true" t="shared" si="21" ref="O51:AC51">ROUND(MIN((0.95*O54),O49),1)</f>
        <v>37</v>
      </c>
      <c r="P51" s="54">
        <f t="shared" si="21"/>
        <v>40</v>
      </c>
      <c r="Q51" s="54" t="e">
        <f t="shared" si="21"/>
        <v>#REF!</v>
      </c>
      <c r="R51" s="54" t="e">
        <f t="shared" si="21"/>
        <v>#REF!</v>
      </c>
      <c r="S51" s="54" t="e">
        <f t="shared" si="21"/>
        <v>#REF!</v>
      </c>
      <c r="T51" s="54" t="e">
        <f t="shared" si="21"/>
        <v>#REF!</v>
      </c>
      <c r="U51" s="54" t="e">
        <f t="shared" si="21"/>
        <v>#REF!</v>
      </c>
      <c r="V51" s="54" t="e">
        <f t="shared" si="21"/>
        <v>#REF!</v>
      </c>
      <c r="W51" s="54" t="e">
        <f t="shared" si="21"/>
        <v>#REF!</v>
      </c>
      <c r="X51" s="54" t="e">
        <f t="shared" si="21"/>
        <v>#REF!</v>
      </c>
      <c r="Y51" s="54" t="e">
        <f t="shared" si="21"/>
        <v>#REF!</v>
      </c>
      <c r="Z51" s="54" t="e">
        <f t="shared" si="21"/>
        <v>#REF!</v>
      </c>
      <c r="AA51" s="54" t="e">
        <f t="shared" si="21"/>
        <v>#REF!</v>
      </c>
      <c r="AB51" s="54" t="e">
        <f t="shared" si="21"/>
        <v>#REF!</v>
      </c>
      <c r="AC51" s="54" t="e">
        <f t="shared" si="21"/>
        <v>#REF!</v>
      </c>
      <c r="AD51" s="30"/>
    </row>
    <row r="52" spans="1:30" ht="18">
      <c r="A52" s="30" t="s">
        <v>98</v>
      </c>
      <c r="B52" s="30"/>
      <c r="C52" s="30"/>
      <c r="D52" s="30"/>
      <c r="E52" s="30"/>
      <c r="F52" s="30"/>
      <c r="G52" s="30"/>
      <c r="H52" s="30"/>
      <c r="I52" s="30"/>
      <c r="J52" s="30"/>
      <c r="K52" s="54"/>
      <c r="L52" s="30"/>
      <c r="M52" s="30"/>
      <c r="N52" s="30"/>
      <c r="O52" s="30"/>
      <c r="P52" s="30"/>
      <c r="Q52" s="30"/>
      <c r="R52" s="54"/>
      <c r="S52" s="30"/>
      <c r="T52" s="30"/>
      <c r="U52" s="30"/>
      <c r="V52" s="30"/>
      <c r="W52" s="54"/>
      <c r="X52" s="30"/>
      <c r="Y52" s="30"/>
      <c r="Z52" s="30"/>
      <c r="AA52" s="30"/>
      <c r="AB52" s="30"/>
      <c r="AC52" s="30"/>
      <c r="AD52" s="30"/>
    </row>
    <row r="53" spans="1:30" ht="18">
      <c r="A53" s="30" t="s">
        <v>102</v>
      </c>
      <c r="B53" s="93">
        <v>56.8</v>
      </c>
      <c r="C53" s="93">
        <v>53.7</v>
      </c>
      <c r="D53" s="93">
        <v>58.1</v>
      </c>
      <c r="E53" s="93">
        <v>72</v>
      </c>
      <c r="F53" s="93">
        <v>75.4</v>
      </c>
      <c r="G53" s="93">
        <v>69.3</v>
      </c>
      <c r="H53" s="93">
        <v>65.2</v>
      </c>
      <c r="I53" s="93">
        <v>60.2</v>
      </c>
      <c r="J53" s="93">
        <v>45</v>
      </c>
      <c r="K53" s="93">
        <v>49.8</v>
      </c>
      <c r="L53" s="93">
        <v>29.8</v>
      </c>
      <c r="M53" s="93">
        <v>44.5</v>
      </c>
      <c r="N53" s="93">
        <v>61.8</v>
      </c>
      <c r="O53" s="93">
        <v>41.6</v>
      </c>
      <c r="P53" s="93">
        <v>47.7</v>
      </c>
      <c r="Q53" s="93">
        <v>46.5</v>
      </c>
      <c r="R53" s="93">
        <v>59.3</v>
      </c>
      <c r="S53" s="93">
        <v>48</v>
      </c>
      <c r="T53" s="93">
        <v>50</v>
      </c>
      <c r="U53" s="93">
        <v>55</v>
      </c>
      <c r="V53" s="93">
        <v>60</v>
      </c>
      <c r="W53" s="93">
        <v>60.5</v>
      </c>
      <c r="X53" s="93">
        <v>61</v>
      </c>
      <c r="Y53" s="93">
        <v>61.5</v>
      </c>
      <c r="Z53" s="93">
        <v>62</v>
      </c>
      <c r="AA53" s="93">
        <v>62.5</v>
      </c>
      <c r="AB53" s="93">
        <v>63</v>
      </c>
      <c r="AC53" s="93">
        <v>63.5</v>
      </c>
      <c r="AD53" s="30"/>
    </row>
    <row r="54" spans="1:30" ht="18">
      <c r="A54" s="55" t="s">
        <v>105</v>
      </c>
      <c r="B54" s="56">
        <v>47.23</v>
      </c>
      <c r="C54" s="56">
        <v>43.81</v>
      </c>
      <c r="D54" s="56">
        <v>56.42</v>
      </c>
      <c r="E54" s="56">
        <v>76.12</v>
      </c>
      <c r="F54" s="57">
        <v>71.04</v>
      </c>
      <c r="G54" s="57">
        <v>64.15</v>
      </c>
      <c r="H54" s="56">
        <v>58.23</v>
      </c>
      <c r="I54" s="56">
        <v>44.62</v>
      </c>
      <c r="J54" s="56">
        <v>38.92</v>
      </c>
      <c r="K54" s="56">
        <v>43.62</v>
      </c>
      <c r="L54" s="57">
        <v>28.51</v>
      </c>
      <c r="M54" s="57">
        <v>43.25</v>
      </c>
      <c r="N54" s="57">
        <v>54.99</v>
      </c>
      <c r="O54" s="57">
        <v>38.91</v>
      </c>
      <c r="P54" s="57">
        <v>42.06</v>
      </c>
      <c r="Q54" s="57" t="e">
        <f>#REF!-16</f>
        <v>#REF!</v>
      </c>
      <c r="R54" s="57" t="e">
        <f>#REF!-16</f>
        <v>#REF!</v>
      </c>
      <c r="S54" s="57" t="e">
        <f>#REF!-16</f>
        <v>#REF!</v>
      </c>
      <c r="T54" s="57" t="e">
        <f>#REF!-16</f>
        <v>#REF!</v>
      </c>
      <c r="U54" s="57" t="e">
        <f>#REF!-16</f>
        <v>#REF!</v>
      </c>
      <c r="V54" s="57" t="e">
        <f>#REF!-16</f>
        <v>#REF!</v>
      </c>
      <c r="W54" s="57" t="e">
        <f>#REF!-16</f>
        <v>#REF!</v>
      </c>
      <c r="X54" s="57" t="e">
        <f>#REF!-16</f>
        <v>#REF!</v>
      </c>
      <c r="Y54" s="57" t="e">
        <f>#REF!-16</f>
        <v>#REF!</v>
      </c>
      <c r="Z54" s="57" t="e">
        <f>#REF!-16</f>
        <v>#REF!</v>
      </c>
      <c r="AA54" s="57" t="e">
        <f>#REF!-16</f>
        <v>#REF!</v>
      </c>
      <c r="AB54" s="57" t="e">
        <f>#REF!-16</f>
        <v>#REF!</v>
      </c>
      <c r="AC54" s="57" t="e">
        <f>#REF!-16</f>
        <v>#REF!</v>
      </c>
      <c r="AD54" s="30"/>
    </row>
    <row r="55" spans="1:30" ht="18">
      <c r="A55" s="58" t="s">
        <v>35</v>
      </c>
      <c r="B55" s="58" t="s">
        <v>35</v>
      </c>
      <c r="C55" s="58" t="s">
        <v>35</v>
      </c>
      <c r="D55" s="58" t="s">
        <v>35</v>
      </c>
      <c r="E55" s="58" t="s">
        <v>35</v>
      </c>
      <c r="F55" s="58" t="s">
        <v>35</v>
      </c>
      <c r="G55" s="58" t="s">
        <v>35</v>
      </c>
      <c r="H55" s="58" t="s">
        <v>35</v>
      </c>
      <c r="I55" s="58" t="s">
        <v>35</v>
      </c>
      <c r="J55" s="58" t="s">
        <v>35</v>
      </c>
      <c r="K55" s="58" t="s">
        <v>35</v>
      </c>
      <c r="L55" s="58" t="s">
        <v>35</v>
      </c>
      <c r="M55" s="58" t="s">
        <v>35</v>
      </c>
      <c r="N55" s="58" t="s">
        <v>35</v>
      </c>
      <c r="O55" s="58" t="s">
        <v>35</v>
      </c>
      <c r="P55" s="58" t="s">
        <v>35</v>
      </c>
      <c r="Q55" s="58" t="s">
        <v>35</v>
      </c>
      <c r="R55" s="58" t="s">
        <v>35</v>
      </c>
      <c r="S55" s="58" t="s">
        <v>35</v>
      </c>
      <c r="T55" s="58" t="s">
        <v>35</v>
      </c>
      <c r="U55" s="58" t="s">
        <v>35</v>
      </c>
      <c r="V55" s="58" t="s">
        <v>35</v>
      </c>
      <c r="W55" s="58" t="s">
        <v>35</v>
      </c>
      <c r="X55" s="30"/>
      <c r="Y55" s="30"/>
      <c r="Z55" s="30"/>
      <c r="AA55" s="30"/>
      <c r="AB55" s="30"/>
      <c r="AC55" s="30"/>
      <c r="AD55" s="30"/>
    </row>
    <row r="56" spans="1:30" ht="18">
      <c r="A56" s="59" t="s">
        <v>345</v>
      </c>
      <c r="B56" s="56">
        <f>B53+(B49-B51)</f>
        <v>64.02000000000001</v>
      </c>
      <c r="C56" s="56">
        <f>C53+(C49-C51)</f>
        <v>65.58000000000001</v>
      </c>
      <c r="D56" s="56">
        <f>D53+(D49-D51)</f>
        <v>66.21000000000001</v>
      </c>
      <c r="E56" s="56"/>
      <c r="F56" s="56"/>
      <c r="G56" s="56"/>
      <c r="H56" s="56"/>
      <c r="I56" s="56">
        <f aca="true" t="shared" si="22" ref="I56:W56">I53+(I49-I51)</f>
        <v>68.46000000000001</v>
      </c>
      <c r="J56" s="56">
        <f t="shared" si="22"/>
        <v>64.66</v>
      </c>
      <c r="K56" s="56">
        <f t="shared" si="22"/>
        <v>56.91</v>
      </c>
      <c r="L56" s="56">
        <f t="shared" si="22"/>
        <v>56.75</v>
      </c>
      <c r="M56" s="56">
        <f t="shared" si="22"/>
        <v>55.46</v>
      </c>
      <c r="N56" s="56">
        <f t="shared" si="22"/>
        <v>61.8</v>
      </c>
      <c r="O56" s="56">
        <f t="shared" si="22"/>
        <v>56.6</v>
      </c>
      <c r="P56" s="56">
        <f t="shared" si="22"/>
        <v>59.7</v>
      </c>
      <c r="Q56" s="56" t="e">
        <f t="shared" si="22"/>
        <v>#REF!</v>
      </c>
      <c r="R56" s="56">
        <v>57</v>
      </c>
      <c r="S56" s="56" t="e">
        <f t="shared" si="22"/>
        <v>#REF!</v>
      </c>
      <c r="T56" s="56" t="e">
        <f t="shared" si="22"/>
        <v>#REF!</v>
      </c>
      <c r="U56" s="56" t="e">
        <f t="shared" si="22"/>
        <v>#REF!</v>
      </c>
      <c r="V56" s="56" t="e">
        <f t="shared" si="22"/>
        <v>#REF!</v>
      </c>
      <c r="W56" s="56" t="e">
        <f t="shared" si="22"/>
        <v>#REF!</v>
      </c>
      <c r="X56" s="30"/>
      <c r="Y56" s="30"/>
      <c r="Z56" s="30"/>
      <c r="AA56" s="30"/>
      <c r="AB56" s="30"/>
      <c r="AC56" s="30"/>
      <c r="AD56" s="30"/>
    </row>
    <row r="57" spans="1:30" ht="18">
      <c r="A57" s="55" t="s">
        <v>346</v>
      </c>
      <c r="B57" s="56">
        <f>B56-B49</f>
        <v>13.250000000000007</v>
      </c>
      <c r="C57" s="56">
        <f>C56-C49</f>
        <v>13.230000000000011</v>
      </c>
      <c r="D57" s="56">
        <f>D56-D49</f>
        <v>13.860000000000007</v>
      </c>
      <c r="E57" s="56"/>
      <c r="F57" s="56"/>
      <c r="G57" s="56"/>
      <c r="H57" s="56"/>
      <c r="I57" s="56">
        <f aca="true" t="shared" si="23" ref="I57:W57">I56-I49</f>
        <v>16.540000000000006</v>
      </c>
      <c r="J57" s="56">
        <f t="shared" si="23"/>
        <v>12.739999999999995</v>
      </c>
      <c r="K57" s="56">
        <f t="shared" si="23"/>
        <v>4.989999999999995</v>
      </c>
      <c r="L57" s="56">
        <f t="shared" si="23"/>
        <v>4.829999999999998</v>
      </c>
      <c r="M57" s="56">
        <f t="shared" si="23"/>
        <v>3.460000000000001</v>
      </c>
      <c r="N57" s="56">
        <f t="shared" si="23"/>
        <v>9.799999999999997</v>
      </c>
      <c r="O57" s="56">
        <f t="shared" si="23"/>
        <v>4.600000000000001</v>
      </c>
      <c r="P57" s="56">
        <f t="shared" si="23"/>
        <v>7.700000000000003</v>
      </c>
      <c r="Q57" s="56" t="e">
        <f t="shared" si="23"/>
        <v>#REF!</v>
      </c>
      <c r="R57" s="56">
        <f t="shared" si="23"/>
        <v>5</v>
      </c>
      <c r="S57" s="56" t="e">
        <f t="shared" si="23"/>
        <v>#REF!</v>
      </c>
      <c r="T57" s="56" t="e">
        <f t="shared" si="23"/>
        <v>#REF!</v>
      </c>
      <c r="U57" s="56" t="e">
        <f t="shared" si="23"/>
        <v>#REF!</v>
      </c>
      <c r="V57" s="56" t="e">
        <f t="shared" si="23"/>
        <v>#REF!</v>
      </c>
      <c r="W57" s="56" t="e">
        <f t="shared" si="23"/>
        <v>#REF!</v>
      </c>
      <c r="X57" s="30"/>
      <c r="Y57" s="30"/>
      <c r="Z57" s="30"/>
      <c r="AA57" s="30"/>
      <c r="AB57" s="30"/>
      <c r="AC57" s="30"/>
      <c r="AD57" s="30"/>
    </row>
    <row r="58" spans="1:30" ht="18">
      <c r="A58" s="55"/>
      <c r="B58" s="55"/>
      <c r="C58" s="55"/>
      <c r="D58" s="55"/>
      <c r="E58" s="55"/>
      <c r="F58" s="55"/>
      <c r="G58" s="36"/>
      <c r="H58" s="55"/>
      <c r="I58" s="55"/>
      <c r="J58" s="55"/>
      <c r="K58" s="55"/>
      <c r="L58" s="36"/>
      <c r="M58" s="36"/>
      <c r="N58" s="36"/>
      <c r="O58" s="55"/>
      <c r="P58" s="55"/>
      <c r="Q58" s="55"/>
      <c r="R58" s="55"/>
      <c r="S58" s="55"/>
      <c r="T58" s="36"/>
      <c r="U58" s="36"/>
      <c r="V58" s="36"/>
      <c r="W58" s="36"/>
      <c r="X58" s="30"/>
      <c r="Y58" s="30"/>
      <c r="Z58" s="30"/>
      <c r="AA58" s="30"/>
      <c r="AB58" s="30"/>
      <c r="AC58" s="30"/>
      <c r="AD58" s="30"/>
    </row>
    <row r="59" spans="1:30" ht="18">
      <c r="A59" s="35"/>
      <c r="B59" s="35"/>
      <c r="C59" s="35"/>
      <c r="D59" s="60"/>
      <c r="E59" s="39"/>
      <c r="F59" s="60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60"/>
      <c r="S59" s="60"/>
      <c r="T59" s="60"/>
      <c r="U59" s="35"/>
      <c r="V59" s="35"/>
      <c r="W59" s="30"/>
      <c r="X59" s="30"/>
      <c r="Y59" s="30"/>
      <c r="Z59" s="30"/>
      <c r="AA59" s="30"/>
      <c r="AB59" s="30"/>
      <c r="AC59" s="30"/>
      <c r="AD59" s="30"/>
    </row>
    <row r="60" spans="1:30" ht="18">
      <c r="A60" s="35"/>
      <c r="B60" s="60"/>
      <c r="C60" s="60"/>
      <c r="D60" s="60"/>
      <c r="E60" s="39"/>
      <c r="F60" s="39"/>
      <c r="G60" s="35"/>
      <c r="H60" s="35"/>
      <c r="I60" s="35"/>
      <c r="J60" s="35"/>
      <c r="K60" s="35"/>
      <c r="L60" s="35"/>
      <c r="M60" s="35"/>
      <c r="N60" s="35"/>
      <c r="O60" s="35"/>
      <c r="P60" s="60"/>
      <c r="Q60" s="60"/>
      <c r="R60" s="60"/>
      <c r="S60" s="39"/>
      <c r="T60" s="60"/>
      <c r="U60" s="30"/>
      <c r="V60" s="30"/>
      <c r="W60" s="35"/>
      <c r="X60" s="35"/>
      <c r="Y60" s="30"/>
      <c r="Z60" s="30"/>
      <c r="AA60" s="30"/>
      <c r="AB60" s="30"/>
      <c r="AC60" s="30"/>
      <c r="AD60" s="30"/>
    </row>
    <row r="61" spans="1:30" ht="18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61"/>
      <c r="U61" s="30"/>
      <c r="V61" s="30"/>
      <c r="W61" s="35"/>
      <c r="X61" s="35"/>
      <c r="Y61" s="30"/>
      <c r="Z61" s="30"/>
      <c r="AA61" s="30"/>
      <c r="AB61" s="30"/>
      <c r="AC61" s="30"/>
      <c r="AD61" s="30"/>
    </row>
    <row r="62" spans="1:30" ht="18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61"/>
      <c r="U62" s="30"/>
      <c r="V62" s="30"/>
      <c r="W62" s="35"/>
      <c r="X62" s="35"/>
      <c r="Y62" s="30"/>
      <c r="Z62" s="30"/>
      <c r="AA62" s="30"/>
      <c r="AB62" s="30"/>
      <c r="AC62" s="30"/>
      <c r="AD62" s="30"/>
    </row>
    <row r="63" spans="1:30" ht="18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61"/>
      <c r="U63" s="30"/>
      <c r="V63" s="30"/>
      <c r="W63" s="35"/>
      <c r="X63" s="35"/>
      <c r="Y63" s="30"/>
      <c r="Z63" s="30"/>
      <c r="AA63" s="30"/>
      <c r="AB63" s="30"/>
      <c r="AC63" s="30"/>
      <c r="AD63" s="30"/>
    </row>
    <row r="64" spans="1:30" ht="18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61"/>
      <c r="U64" s="30"/>
      <c r="V64" s="30"/>
      <c r="W64" s="35"/>
      <c r="X64" s="35"/>
      <c r="Y64" s="30"/>
      <c r="Z64" s="30"/>
      <c r="AA64" s="30"/>
      <c r="AB64" s="30"/>
      <c r="AC64" s="30"/>
      <c r="AD64" s="30"/>
    </row>
    <row r="65" spans="1:30" ht="18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61"/>
      <c r="U65" s="30"/>
      <c r="V65" s="30"/>
      <c r="W65" s="35"/>
      <c r="X65" s="35"/>
      <c r="Y65" s="30"/>
      <c r="Z65" s="30"/>
      <c r="AA65" s="30"/>
      <c r="AB65" s="30"/>
      <c r="AC65" s="30"/>
      <c r="AD65" s="30"/>
    </row>
    <row r="66" spans="1:30" ht="18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61"/>
      <c r="U66" s="30"/>
      <c r="V66" s="30"/>
      <c r="W66" s="35"/>
      <c r="X66" s="35"/>
      <c r="Y66" s="30"/>
      <c r="Z66" s="30"/>
      <c r="AA66" s="30"/>
      <c r="AB66" s="30"/>
      <c r="AC66" s="30"/>
      <c r="AD66" s="30"/>
    </row>
    <row r="67" spans="1:30" ht="18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61"/>
      <c r="U67" s="30"/>
      <c r="V67" s="30"/>
      <c r="W67" s="35"/>
      <c r="X67" s="35"/>
      <c r="Y67" s="30"/>
      <c r="Z67" s="30"/>
      <c r="AA67" s="30"/>
      <c r="AB67" s="30"/>
      <c r="AC67" s="30"/>
      <c r="AD67" s="30"/>
    </row>
    <row r="68" spans="1:30" ht="18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61"/>
      <c r="U68" s="30"/>
      <c r="V68" s="30"/>
      <c r="W68" s="35"/>
      <c r="X68" s="35"/>
      <c r="Y68" s="30"/>
      <c r="Z68" s="30"/>
      <c r="AA68" s="30"/>
      <c r="AB68" s="30"/>
      <c r="AC68" s="30"/>
      <c r="AD68" s="30"/>
    </row>
    <row r="69" spans="1:30" ht="18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61"/>
      <c r="U69" s="30"/>
      <c r="V69" s="30"/>
      <c r="W69" s="35"/>
      <c r="X69" s="35"/>
      <c r="Y69" s="30"/>
      <c r="Z69" s="30"/>
      <c r="AA69" s="30"/>
      <c r="AB69" s="30"/>
      <c r="AC69" s="30"/>
      <c r="AD69" s="30"/>
    </row>
    <row r="70" spans="1:30" ht="18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61"/>
      <c r="U70" s="30"/>
      <c r="V70" s="30"/>
      <c r="W70" s="35"/>
      <c r="X70" s="35"/>
      <c r="Y70" s="30"/>
      <c r="Z70" s="30"/>
      <c r="AA70" s="30"/>
      <c r="AB70" s="30"/>
      <c r="AC70" s="30"/>
      <c r="AD70" s="30"/>
    </row>
    <row r="71" spans="1:30" ht="1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61"/>
      <c r="U71" s="35"/>
      <c r="V71" s="35"/>
      <c r="W71" s="30"/>
      <c r="X71" s="30"/>
      <c r="Y71" s="30"/>
      <c r="Z71" s="30"/>
      <c r="AA71" s="30"/>
      <c r="AB71" s="30"/>
      <c r="AC71" s="30"/>
      <c r="AD71" s="30"/>
    </row>
    <row r="72" spans="1:30" ht="1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61"/>
      <c r="U72" s="35"/>
      <c r="V72" s="35"/>
      <c r="W72" s="30"/>
      <c r="X72" s="30"/>
      <c r="Y72" s="30"/>
      <c r="Z72" s="30"/>
      <c r="AA72" s="30"/>
      <c r="AB72" s="30"/>
      <c r="AC72" s="30"/>
      <c r="AD72" s="30"/>
    </row>
    <row r="73" spans="1:30" ht="18">
      <c r="A73" s="35"/>
      <c r="B73" s="35"/>
      <c r="C73" s="61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61"/>
      <c r="R73" s="35"/>
      <c r="S73" s="35"/>
      <c r="T73" s="61"/>
      <c r="U73" s="35"/>
      <c r="V73" s="35"/>
      <c r="W73" s="30"/>
      <c r="X73" s="30"/>
      <c r="Y73" s="30"/>
      <c r="Z73" s="30"/>
      <c r="AA73" s="30"/>
      <c r="AB73" s="30"/>
      <c r="AC73" s="30"/>
      <c r="AD73" s="30"/>
    </row>
    <row r="74" spans="1:30" ht="18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61"/>
      <c r="U74" s="35"/>
      <c r="V74" s="35"/>
      <c r="W74" s="30"/>
      <c r="X74" s="30"/>
      <c r="Y74" s="30"/>
      <c r="Z74" s="30"/>
      <c r="AA74" s="30"/>
      <c r="AB74" s="30"/>
      <c r="AC74" s="30"/>
      <c r="AD74" s="30"/>
    </row>
    <row r="75" spans="1:30" ht="18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0"/>
      <c r="X75" s="30"/>
      <c r="Y75" s="30"/>
      <c r="Z75" s="30"/>
      <c r="AA75" s="30"/>
      <c r="AB75" s="30"/>
      <c r="AC75" s="30"/>
      <c r="AD75" s="30"/>
    </row>
    <row r="76" spans="1:30" ht="18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0"/>
      <c r="X76" s="30"/>
      <c r="Y76" s="30"/>
      <c r="Z76" s="30"/>
      <c r="AA76" s="30"/>
      <c r="AB76" s="30"/>
      <c r="AC76" s="30"/>
      <c r="AD76" s="30"/>
    </row>
    <row r="77" spans="1:30" ht="18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0"/>
      <c r="X77" s="30"/>
      <c r="Y77" s="30"/>
      <c r="Z77" s="30"/>
      <c r="AA77" s="30"/>
      <c r="AB77" s="30"/>
      <c r="AC77" s="30"/>
      <c r="AD77" s="30"/>
    </row>
    <row r="78" spans="1:30" ht="18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0"/>
      <c r="X78" s="30"/>
      <c r="Y78" s="30"/>
      <c r="Z78" s="30"/>
      <c r="AA78" s="30"/>
      <c r="AB78" s="30"/>
      <c r="AC78" s="30"/>
      <c r="AD78" s="30"/>
    </row>
    <row r="79" spans="1:30" ht="18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0"/>
      <c r="X79" s="30"/>
      <c r="Y79" s="30"/>
      <c r="Z79" s="30"/>
      <c r="AA79" s="30"/>
      <c r="AB79" s="30"/>
      <c r="AC79" s="30"/>
      <c r="AD79" s="30"/>
    </row>
    <row r="80" spans="1:30" ht="18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0"/>
      <c r="X80" s="30"/>
      <c r="Y80" s="30"/>
      <c r="Z80" s="30"/>
      <c r="AA80" s="30"/>
      <c r="AB80" s="30"/>
      <c r="AC80" s="30"/>
      <c r="AD80" s="30"/>
    </row>
    <row r="81" spans="1:30" ht="18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0"/>
      <c r="X81" s="30"/>
      <c r="Y81" s="30"/>
      <c r="Z81" s="30"/>
      <c r="AA81" s="30"/>
      <c r="AB81" s="30"/>
      <c r="AC81" s="30"/>
      <c r="AD81" s="30"/>
    </row>
    <row r="82" spans="1:30" ht="18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0"/>
      <c r="X82" s="30"/>
      <c r="Y82" s="30"/>
      <c r="Z82" s="30"/>
      <c r="AA82" s="30"/>
      <c r="AB82" s="30"/>
      <c r="AC82" s="30"/>
      <c r="AD82" s="30"/>
    </row>
    <row r="83" spans="1:30" ht="18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ht="18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ht="18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30" ht="18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1:30" ht="18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ht="18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1:30" ht="18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1:30" ht="18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1:30" ht="18">
      <c r="A91" s="30" t="s">
        <v>161</v>
      </c>
      <c r="B91" s="44">
        <f aca="true" t="shared" si="24" ref="B91:U91">ROUND(B92*480*(B54+8)/100,-1)</f>
        <v>26510</v>
      </c>
      <c r="C91" s="44">
        <f t="shared" si="24"/>
        <v>24870</v>
      </c>
      <c r="D91" s="44">
        <f t="shared" si="24"/>
        <v>30920</v>
      </c>
      <c r="E91" s="44">
        <f t="shared" si="24"/>
        <v>40380</v>
      </c>
      <c r="F91" s="44">
        <f t="shared" si="24"/>
        <v>37940</v>
      </c>
      <c r="G91" s="44">
        <f t="shared" si="24"/>
        <v>34630</v>
      </c>
      <c r="H91" s="44">
        <f t="shared" si="24"/>
        <v>31790</v>
      </c>
      <c r="I91" s="44">
        <f t="shared" si="24"/>
        <v>25260</v>
      </c>
      <c r="J91" s="44">
        <f t="shared" si="24"/>
        <v>22520</v>
      </c>
      <c r="K91" s="44">
        <f t="shared" si="24"/>
        <v>24780</v>
      </c>
      <c r="L91" s="44">
        <f t="shared" si="24"/>
        <v>17520</v>
      </c>
      <c r="M91" s="44">
        <f t="shared" si="24"/>
        <v>24600</v>
      </c>
      <c r="N91" s="44">
        <f t="shared" si="24"/>
        <v>30240</v>
      </c>
      <c r="O91" s="44">
        <f t="shared" si="24"/>
        <v>22520</v>
      </c>
      <c r="P91" s="44">
        <f t="shared" si="24"/>
        <v>24030</v>
      </c>
      <c r="Q91" s="44" t="e">
        <f t="shared" si="24"/>
        <v>#REF!</v>
      </c>
      <c r="R91" s="44" t="e">
        <f t="shared" si="24"/>
        <v>#REF!</v>
      </c>
      <c r="S91" s="44" t="e">
        <f t="shared" si="24"/>
        <v>#REF!</v>
      </c>
      <c r="T91" s="44" t="e">
        <f t="shared" si="24"/>
        <v>#REF!</v>
      </c>
      <c r="U91" s="44" t="e">
        <f t="shared" si="24"/>
        <v>#REF!</v>
      </c>
      <c r="V91" s="30"/>
      <c r="W91" s="30"/>
      <c r="X91" s="30"/>
      <c r="Y91" s="30"/>
      <c r="Z91" s="30"/>
      <c r="AA91" s="30"/>
      <c r="AB91" s="30"/>
      <c r="AC91" s="30"/>
      <c r="AD91" s="30"/>
    </row>
    <row r="92" spans="1:30" ht="18">
      <c r="A92" s="30" t="s">
        <v>162</v>
      </c>
      <c r="B92" s="44">
        <v>100</v>
      </c>
      <c r="C92" s="44">
        <v>100</v>
      </c>
      <c r="D92" s="44">
        <v>100</v>
      </c>
      <c r="E92" s="44">
        <v>100</v>
      </c>
      <c r="F92" s="44">
        <v>100</v>
      </c>
      <c r="G92" s="44">
        <v>100</v>
      </c>
      <c r="H92" s="44">
        <v>100</v>
      </c>
      <c r="I92" s="44">
        <v>100</v>
      </c>
      <c r="J92" s="44">
        <v>100</v>
      </c>
      <c r="K92" s="44">
        <v>100</v>
      </c>
      <c r="L92" s="44">
        <v>100</v>
      </c>
      <c r="M92" s="44">
        <v>100</v>
      </c>
      <c r="N92" s="44">
        <v>100</v>
      </c>
      <c r="O92" s="44">
        <v>100</v>
      </c>
      <c r="P92" s="44">
        <v>100</v>
      </c>
      <c r="Q92" s="44">
        <v>100</v>
      </c>
      <c r="R92" s="44">
        <v>100</v>
      </c>
      <c r="S92" s="44">
        <v>100</v>
      </c>
      <c r="T92" s="44">
        <v>100</v>
      </c>
      <c r="U92" s="44">
        <v>100</v>
      </c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ht="21" customHeight="1">
      <c r="A93" s="62" t="s">
        <v>35</v>
      </c>
      <c r="B93" s="62" t="s">
        <v>35</v>
      </c>
      <c r="C93" s="62" t="s">
        <v>35</v>
      </c>
      <c r="D93" s="62" t="s">
        <v>35</v>
      </c>
      <c r="E93" s="62" t="s">
        <v>35</v>
      </c>
      <c r="F93" s="62" t="s">
        <v>35</v>
      </c>
      <c r="G93" s="62" t="s">
        <v>35</v>
      </c>
      <c r="H93" s="62" t="s">
        <v>35</v>
      </c>
      <c r="I93" s="62" t="s">
        <v>35</v>
      </c>
      <c r="J93" s="62" t="s">
        <v>35</v>
      </c>
      <c r="K93" s="62" t="s">
        <v>35</v>
      </c>
      <c r="L93" s="62" t="s">
        <v>35</v>
      </c>
      <c r="M93" s="62" t="s">
        <v>35</v>
      </c>
      <c r="N93" s="62" t="s">
        <v>35</v>
      </c>
      <c r="O93" s="62" t="s">
        <v>35</v>
      </c>
      <c r="P93" s="62" t="s">
        <v>35</v>
      </c>
      <c r="Q93" s="62" t="s">
        <v>35</v>
      </c>
      <c r="R93" s="62" t="s">
        <v>35</v>
      </c>
      <c r="S93" s="62" t="s">
        <v>35</v>
      </c>
      <c r="T93" s="62" t="s">
        <v>35</v>
      </c>
      <c r="U93" s="62" t="s">
        <v>35</v>
      </c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ht="18">
      <c r="A94" s="43" t="s">
        <v>347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ht="18">
      <c r="A95" s="30" t="s">
        <v>163</v>
      </c>
      <c r="B95" s="52">
        <v>0.05</v>
      </c>
      <c r="C95" s="52">
        <v>0.1</v>
      </c>
      <c r="D95" s="52">
        <v>0.075</v>
      </c>
      <c r="E95" s="52">
        <v>0.11</v>
      </c>
      <c r="F95" s="52">
        <f aca="true" t="shared" si="25" ref="F95:U95">F4</f>
        <v>0</v>
      </c>
      <c r="G95" s="52">
        <f t="shared" si="25"/>
        <v>0</v>
      </c>
      <c r="H95" s="52">
        <f t="shared" si="25"/>
        <v>0</v>
      </c>
      <c r="I95" s="52">
        <f t="shared" si="25"/>
        <v>0</v>
      </c>
      <c r="J95" s="52">
        <f t="shared" si="25"/>
        <v>0</v>
      </c>
      <c r="K95" s="52">
        <f t="shared" si="25"/>
        <v>0</v>
      </c>
      <c r="L95" s="52">
        <f t="shared" si="25"/>
        <v>0</v>
      </c>
      <c r="M95" s="52">
        <f t="shared" si="25"/>
        <v>0</v>
      </c>
      <c r="N95" s="52">
        <f t="shared" si="25"/>
        <v>0</v>
      </c>
      <c r="O95" s="52">
        <f t="shared" si="25"/>
        <v>0</v>
      </c>
      <c r="P95" s="52">
        <f t="shared" si="25"/>
        <v>0</v>
      </c>
      <c r="Q95" s="52">
        <f t="shared" si="25"/>
        <v>0</v>
      </c>
      <c r="R95" s="52">
        <f t="shared" si="25"/>
        <v>0</v>
      </c>
      <c r="S95" s="52">
        <f t="shared" si="25"/>
        <v>0</v>
      </c>
      <c r="T95" s="52">
        <f t="shared" si="25"/>
        <v>0</v>
      </c>
      <c r="U95" s="52">
        <f t="shared" si="25"/>
        <v>0</v>
      </c>
      <c r="V95" s="30"/>
      <c r="W95" s="30"/>
      <c r="X95" s="30"/>
      <c r="Y95" s="30"/>
      <c r="Z95" s="30"/>
      <c r="AA95" s="30"/>
      <c r="AB95" s="30"/>
      <c r="AC95" s="30"/>
      <c r="AD95" s="30"/>
    </row>
    <row r="96" spans="1:30" ht="18">
      <c r="A96" s="30" t="s">
        <v>164</v>
      </c>
      <c r="B96" s="54">
        <v>0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30"/>
      <c r="W96" s="30"/>
      <c r="X96" s="30"/>
      <c r="Y96" s="30"/>
      <c r="Z96" s="30"/>
      <c r="AA96" s="30"/>
      <c r="AB96" s="30"/>
      <c r="AC96" s="30"/>
      <c r="AD96" s="30"/>
    </row>
    <row r="97" spans="1:30" ht="18">
      <c r="A97" s="30" t="s">
        <v>165</v>
      </c>
      <c r="B97" s="52">
        <f aca="true" t="shared" si="26" ref="B97:U97">IF(B96&gt;0,(B96-B98),0)</f>
        <v>0</v>
      </c>
      <c r="C97" s="52">
        <f t="shared" si="26"/>
        <v>0</v>
      </c>
      <c r="D97" s="52">
        <f t="shared" si="26"/>
        <v>0</v>
      </c>
      <c r="E97" s="52">
        <f t="shared" si="26"/>
        <v>0</v>
      </c>
      <c r="F97" s="52">
        <f t="shared" si="26"/>
        <v>0</v>
      </c>
      <c r="G97" s="52">
        <f t="shared" si="26"/>
        <v>0</v>
      </c>
      <c r="H97" s="52">
        <f t="shared" si="26"/>
        <v>0</v>
      </c>
      <c r="I97" s="52">
        <f t="shared" si="26"/>
        <v>0</v>
      </c>
      <c r="J97" s="52">
        <f t="shared" si="26"/>
        <v>0</v>
      </c>
      <c r="K97" s="52">
        <f t="shared" si="26"/>
        <v>0</v>
      </c>
      <c r="L97" s="52">
        <f t="shared" si="26"/>
        <v>0</v>
      </c>
      <c r="M97" s="52">
        <f t="shared" si="26"/>
        <v>0</v>
      </c>
      <c r="N97" s="52">
        <f t="shared" si="26"/>
        <v>0</v>
      </c>
      <c r="O97" s="52">
        <f t="shared" si="26"/>
        <v>0</v>
      </c>
      <c r="P97" s="52">
        <f t="shared" si="26"/>
        <v>0</v>
      </c>
      <c r="Q97" s="52">
        <f t="shared" si="26"/>
        <v>0</v>
      </c>
      <c r="R97" s="52">
        <f t="shared" si="26"/>
        <v>0</v>
      </c>
      <c r="S97" s="52">
        <f t="shared" si="26"/>
        <v>0</v>
      </c>
      <c r="T97" s="52">
        <f t="shared" si="26"/>
        <v>0</v>
      </c>
      <c r="U97" s="52">
        <f t="shared" si="26"/>
        <v>0</v>
      </c>
      <c r="V97" s="30"/>
      <c r="W97" s="30"/>
      <c r="X97" s="30"/>
      <c r="Y97" s="30"/>
      <c r="Z97" s="30"/>
      <c r="AA97" s="30"/>
      <c r="AB97" s="30"/>
      <c r="AC97" s="30"/>
      <c r="AD97" s="30"/>
    </row>
    <row r="98" spans="1:30" ht="18">
      <c r="A98" s="30" t="s">
        <v>166</v>
      </c>
      <c r="B98" s="52">
        <v>0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30"/>
      <c r="W98" s="30"/>
      <c r="X98" s="30"/>
      <c r="Y98" s="30"/>
      <c r="Z98" s="30"/>
      <c r="AA98" s="30"/>
      <c r="AB98" s="30"/>
      <c r="AC98" s="30"/>
      <c r="AD98" s="30"/>
    </row>
    <row r="99" spans="1:30" ht="18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1:30" ht="18">
      <c r="A100" s="30" t="s">
        <v>167</v>
      </c>
      <c r="B100" s="54">
        <v>52.63</v>
      </c>
      <c r="C100" s="54">
        <v>53.15</v>
      </c>
      <c r="D100" s="54">
        <v>63.46</v>
      </c>
      <c r="E100" s="54">
        <v>79.61</v>
      </c>
      <c r="F100" s="54">
        <v>81.69</v>
      </c>
      <c r="G100" s="54">
        <v>70.35</v>
      </c>
      <c r="H100" s="54">
        <v>65.01</v>
      </c>
      <c r="I100" s="54">
        <v>58.14</v>
      </c>
      <c r="J100" s="54">
        <v>50.32</v>
      </c>
      <c r="K100" s="54">
        <v>51.28</v>
      </c>
      <c r="L100" s="54">
        <f aca="true" t="shared" si="27" ref="L100:U100">ROUND(1.03*L53,2)</f>
        <v>30.69</v>
      </c>
      <c r="M100" s="54">
        <f t="shared" si="27"/>
        <v>45.84</v>
      </c>
      <c r="N100" s="54">
        <f t="shared" si="27"/>
        <v>63.65</v>
      </c>
      <c r="O100" s="54">
        <f t="shared" si="27"/>
        <v>42.85</v>
      </c>
      <c r="P100" s="54">
        <f t="shared" si="27"/>
        <v>49.13</v>
      </c>
      <c r="Q100" s="54">
        <f t="shared" si="27"/>
        <v>47.9</v>
      </c>
      <c r="R100" s="54">
        <f t="shared" si="27"/>
        <v>61.08</v>
      </c>
      <c r="S100" s="54">
        <f t="shared" si="27"/>
        <v>49.44</v>
      </c>
      <c r="T100" s="54">
        <f t="shared" si="27"/>
        <v>51.5</v>
      </c>
      <c r="U100" s="54">
        <f t="shared" si="27"/>
        <v>56.65</v>
      </c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1:30" ht="18">
      <c r="A101" s="30" t="s">
        <v>168</v>
      </c>
      <c r="B101" s="54">
        <f>ROUND(B100/B53,2)</f>
        <v>0.93</v>
      </c>
      <c r="C101" s="54">
        <f>ROUND(C100/C53,2)</f>
        <v>0.99</v>
      </c>
      <c r="D101" s="54">
        <f>ROUND(D100/D53,2)</f>
        <v>1.09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0" ht="18">
      <c r="A102" s="30" t="s">
        <v>169</v>
      </c>
      <c r="B102" s="30"/>
      <c r="C102" s="30"/>
      <c r="D102" s="54"/>
      <c r="E102" s="54"/>
      <c r="F102" s="30"/>
      <c r="G102" s="54" t="e">
        <f>ROUND(0.9*(#REF!-9),2)</f>
        <v>#REF!</v>
      </c>
      <c r="H102" s="54" t="e">
        <f>ROUND(0.9*(#REF!-9),2)</f>
        <v>#REF!</v>
      </c>
      <c r="I102" s="54" t="e">
        <f>ROUND(0.9*(#REF!-9),2)</f>
        <v>#REF!</v>
      </c>
      <c r="J102" s="54" t="e">
        <f>ROUND(0.9*(#REF!-9),2)</f>
        <v>#REF!</v>
      </c>
      <c r="K102" s="54" t="e">
        <f>ROUND(0.9*(#REF!-9),2)</f>
        <v>#REF!</v>
      </c>
      <c r="L102" s="54" t="e">
        <f>ROUND(0.9*(#REF!-9),2)</f>
        <v>#REF!</v>
      </c>
      <c r="M102" s="54" t="e">
        <f>ROUND(0.9*(#REF!-9),2)</f>
        <v>#REF!</v>
      </c>
      <c r="N102" s="54" t="e">
        <f>ROUND(0.9*(#REF!-9),2)</f>
        <v>#REF!</v>
      </c>
      <c r="O102" s="54" t="e">
        <f>ROUND(0.9*(#REF!-9),2)</f>
        <v>#REF!</v>
      </c>
      <c r="P102" s="54" t="e">
        <f>ROUND(0.9*(#REF!-9),2)</f>
        <v>#REF!</v>
      </c>
      <c r="Q102" s="54" t="e">
        <f>ROUND(0.9*(#REF!-9),2)</f>
        <v>#REF!</v>
      </c>
      <c r="R102" s="54" t="e">
        <f>ROUND(0.9*(#REF!-9),2)</f>
        <v>#REF!</v>
      </c>
      <c r="S102" s="54" t="e">
        <f>ROUND(0.9*(#REF!-9),2)</f>
        <v>#REF!</v>
      </c>
      <c r="T102" s="54" t="e">
        <f>ROUND(0.9*(#REF!-9),2)</f>
        <v>#REF!</v>
      </c>
      <c r="U102" s="54" t="e">
        <f>ROUND(0.9*(#REF!-9),2)</f>
        <v>#REF!</v>
      </c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1:30" ht="18">
      <c r="A103" s="30"/>
      <c r="B103" s="54"/>
      <c r="C103" s="54"/>
      <c r="D103" s="54"/>
      <c r="E103" s="54"/>
      <c r="F103" s="54"/>
      <c r="G103" s="54"/>
      <c r="H103" s="54"/>
      <c r="I103" s="54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ht="18">
      <c r="A104" s="30" t="s">
        <v>171</v>
      </c>
      <c r="B104" s="54">
        <f aca="true" t="shared" si="28" ref="B104:U104">B22</f>
        <v>590</v>
      </c>
      <c r="C104" s="54">
        <f t="shared" si="28"/>
        <v>602</v>
      </c>
      <c r="D104" s="54">
        <f t="shared" si="28"/>
        <v>605</v>
      </c>
      <c r="E104" s="54">
        <f t="shared" si="28"/>
        <v>606</v>
      </c>
      <c r="F104" s="54">
        <f t="shared" si="28"/>
        <v>600</v>
      </c>
      <c r="G104" s="54">
        <f t="shared" si="28"/>
        <v>608</v>
      </c>
      <c r="H104" s="54">
        <f t="shared" si="28"/>
        <v>608</v>
      </c>
      <c r="I104" s="54">
        <f t="shared" si="28"/>
        <v>604</v>
      </c>
      <c r="J104" s="30">
        <f t="shared" si="28"/>
        <v>604</v>
      </c>
      <c r="K104" s="30">
        <f t="shared" si="28"/>
        <v>605</v>
      </c>
      <c r="L104" s="30">
        <f t="shared" si="28"/>
        <v>606</v>
      </c>
      <c r="M104" s="30">
        <f t="shared" si="28"/>
        <v>604</v>
      </c>
      <c r="N104" s="30">
        <f t="shared" si="28"/>
        <v>605</v>
      </c>
      <c r="O104" s="30">
        <f t="shared" si="28"/>
        <v>601</v>
      </c>
      <c r="P104" s="30">
        <f t="shared" si="28"/>
        <v>600</v>
      </c>
      <c r="Q104" s="30">
        <f t="shared" si="28"/>
        <v>599</v>
      </c>
      <c r="R104" s="30">
        <f t="shared" si="28"/>
        <v>598</v>
      </c>
      <c r="S104" s="30">
        <f t="shared" si="28"/>
        <v>598</v>
      </c>
      <c r="T104" s="30">
        <f t="shared" si="28"/>
        <v>604</v>
      </c>
      <c r="U104" s="30">
        <f t="shared" si="28"/>
        <v>604</v>
      </c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18">
      <c r="A105" s="30" t="s">
        <v>177</v>
      </c>
      <c r="B105" s="54">
        <v>71</v>
      </c>
      <c r="C105" s="54">
        <v>97.5</v>
      </c>
      <c r="D105" s="54">
        <v>113</v>
      </c>
      <c r="E105" s="54">
        <v>101</v>
      </c>
      <c r="F105" s="54">
        <v>106</v>
      </c>
      <c r="G105" s="54">
        <v>126</v>
      </c>
      <c r="H105" s="54">
        <v>121</v>
      </c>
      <c r="I105" s="54">
        <v>129</v>
      </c>
      <c r="J105" s="54">
        <v>89</v>
      </c>
      <c r="K105" s="54">
        <v>105</v>
      </c>
      <c r="L105" s="54">
        <v>90.5</v>
      </c>
      <c r="M105" s="54">
        <v>101</v>
      </c>
      <c r="N105" s="54">
        <v>111</v>
      </c>
      <c r="O105" s="54">
        <v>107</v>
      </c>
      <c r="P105" s="54">
        <v>98</v>
      </c>
      <c r="Q105" s="54">
        <v>111</v>
      </c>
      <c r="R105" s="54">
        <v>160</v>
      </c>
      <c r="S105" s="54">
        <v>115</v>
      </c>
      <c r="T105" s="54">
        <v>117</v>
      </c>
      <c r="U105" s="54">
        <v>120</v>
      </c>
      <c r="V105" s="30">
        <v>121</v>
      </c>
      <c r="W105" s="30">
        <v>123</v>
      </c>
      <c r="X105" s="30">
        <v>125</v>
      </c>
      <c r="Y105" s="30"/>
      <c r="Z105" s="30"/>
      <c r="AA105" s="30"/>
      <c r="AB105" s="30"/>
      <c r="AC105" s="30"/>
      <c r="AD105" s="30"/>
    </row>
    <row r="106" spans="1:30" ht="18">
      <c r="A106" s="30" t="s">
        <v>178</v>
      </c>
      <c r="B106" s="54">
        <f aca="true" t="shared" si="29" ref="B106:V106">B105*1.63/2000</f>
        <v>0.05786499999999999</v>
      </c>
      <c r="C106" s="54">
        <f t="shared" si="29"/>
        <v>0.07946249999999999</v>
      </c>
      <c r="D106" s="54">
        <f t="shared" si="29"/>
        <v>0.092095</v>
      </c>
      <c r="E106" s="54">
        <f t="shared" si="29"/>
        <v>0.082315</v>
      </c>
      <c r="F106" s="54">
        <f t="shared" si="29"/>
        <v>0.08639</v>
      </c>
      <c r="G106" s="54">
        <f t="shared" si="29"/>
        <v>0.10269</v>
      </c>
      <c r="H106" s="54">
        <f t="shared" si="29"/>
        <v>0.098615</v>
      </c>
      <c r="I106" s="54">
        <f t="shared" si="29"/>
        <v>0.10513499999999999</v>
      </c>
      <c r="J106" s="63">
        <f t="shared" si="29"/>
        <v>0.072535</v>
      </c>
      <c r="K106" s="63">
        <f t="shared" si="29"/>
        <v>0.08557499999999998</v>
      </c>
      <c r="L106" s="63">
        <f t="shared" si="29"/>
        <v>0.07375749999999999</v>
      </c>
      <c r="M106" s="63">
        <f t="shared" si="29"/>
        <v>0.082315</v>
      </c>
      <c r="N106" s="63">
        <f t="shared" si="29"/>
        <v>0.09046499999999999</v>
      </c>
      <c r="O106" s="63">
        <f t="shared" si="29"/>
        <v>0.087205</v>
      </c>
      <c r="P106" s="63">
        <f t="shared" si="29"/>
        <v>0.07987</v>
      </c>
      <c r="Q106" s="63">
        <f t="shared" si="29"/>
        <v>0.09046499999999999</v>
      </c>
      <c r="R106" s="63">
        <f t="shared" si="29"/>
        <v>0.1304</v>
      </c>
      <c r="S106" s="63">
        <f t="shared" si="29"/>
        <v>0.09372499999999999</v>
      </c>
      <c r="T106" s="63">
        <f t="shared" si="29"/>
        <v>0.095355</v>
      </c>
      <c r="U106" s="63">
        <f t="shared" si="29"/>
        <v>0.0978</v>
      </c>
      <c r="V106" s="63">
        <f t="shared" si="29"/>
        <v>0.098615</v>
      </c>
      <c r="W106" s="30"/>
      <c r="X106" s="30"/>
      <c r="Y106" s="30"/>
      <c r="Z106" s="30"/>
      <c r="AA106" s="30"/>
      <c r="AB106" s="30"/>
      <c r="AC106" s="30"/>
      <c r="AD106" s="30"/>
    </row>
    <row r="107" spans="1:30" ht="18">
      <c r="A107" s="30" t="s">
        <v>348</v>
      </c>
      <c r="B107" s="54"/>
      <c r="C107" s="54"/>
      <c r="D107" s="54"/>
      <c r="E107" s="54"/>
      <c r="F107" s="54"/>
      <c r="G107" s="54"/>
      <c r="H107" s="54"/>
      <c r="I107" s="54"/>
      <c r="J107" s="30"/>
      <c r="K107" s="30"/>
      <c r="L107" s="30"/>
      <c r="M107" s="30">
        <v>1.497</v>
      </c>
      <c r="N107" s="30">
        <v>1.53</v>
      </c>
      <c r="O107" s="30">
        <f aca="true" t="shared" si="30" ref="O107:W107">ROUND(0.996*N107,3)</f>
        <v>1.524</v>
      </c>
      <c r="P107" s="30">
        <f t="shared" si="30"/>
        <v>1.518</v>
      </c>
      <c r="Q107" s="30">
        <f t="shared" si="30"/>
        <v>1.512</v>
      </c>
      <c r="R107" s="30">
        <f t="shared" si="30"/>
        <v>1.506</v>
      </c>
      <c r="S107" s="30">
        <f t="shared" si="30"/>
        <v>1.5</v>
      </c>
      <c r="T107" s="30">
        <f t="shared" si="30"/>
        <v>1.494</v>
      </c>
      <c r="U107" s="30">
        <f t="shared" si="30"/>
        <v>1.488</v>
      </c>
      <c r="V107" s="30">
        <f t="shared" si="30"/>
        <v>1.482</v>
      </c>
      <c r="W107" s="30">
        <f t="shared" si="30"/>
        <v>1.476</v>
      </c>
      <c r="X107" s="30"/>
      <c r="Y107" s="30"/>
      <c r="Z107" s="30"/>
      <c r="AA107" s="30"/>
      <c r="AB107" s="30"/>
      <c r="AC107" s="30"/>
      <c r="AD107" s="30"/>
    </row>
    <row r="108" spans="1:30" ht="18">
      <c r="A108" s="30" t="s">
        <v>179</v>
      </c>
      <c r="B108" s="54"/>
      <c r="C108" s="54"/>
      <c r="D108" s="54"/>
      <c r="E108" s="54"/>
      <c r="F108" s="54"/>
      <c r="G108" s="54"/>
      <c r="H108" s="54"/>
      <c r="I108" s="54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1:30" ht="18">
      <c r="A109" s="30" t="s">
        <v>180</v>
      </c>
      <c r="B109" s="54">
        <v>40</v>
      </c>
      <c r="C109" s="54">
        <v>40</v>
      </c>
      <c r="D109" s="54">
        <v>40</v>
      </c>
      <c r="E109" s="54">
        <v>40</v>
      </c>
      <c r="F109" s="54">
        <v>40</v>
      </c>
      <c r="G109" s="54">
        <v>40</v>
      </c>
      <c r="H109" s="54">
        <v>42.3</v>
      </c>
      <c r="I109" s="54">
        <v>29.56</v>
      </c>
      <c r="J109" s="30">
        <v>30.85</v>
      </c>
      <c r="K109" s="30">
        <v>35.23</v>
      </c>
      <c r="L109" s="30">
        <v>36.6</v>
      </c>
      <c r="M109" s="30">
        <v>36.89</v>
      </c>
      <c r="N109" s="30">
        <v>36.1</v>
      </c>
      <c r="O109" s="30">
        <v>36.37</v>
      </c>
      <c r="P109" s="30">
        <v>36.33</v>
      </c>
      <c r="Q109" s="30">
        <v>36.2</v>
      </c>
      <c r="R109" s="30">
        <v>33.01</v>
      </c>
      <c r="S109" s="30">
        <v>33.01</v>
      </c>
      <c r="T109" s="30">
        <v>33.01</v>
      </c>
      <c r="U109" s="30">
        <v>33.01</v>
      </c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ht="18">
      <c r="A110" s="30" t="s">
        <v>181</v>
      </c>
      <c r="B110" s="54">
        <v>45</v>
      </c>
      <c r="C110" s="54">
        <v>45</v>
      </c>
      <c r="D110" s="54">
        <v>45</v>
      </c>
      <c r="E110" s="54">
        <v>45</v>
      </c>
      <c r="F110" s="54">
        <v>45</v>
      </c>
      <c r="G110" s="54">
        <v>45</v>
      </c>
      <c r="H110" s="54"/>
      <c r="I110" s="54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18">
      <c r="A111" s="30" t="s">
        <v>182</v>
      </c>
      <c r="B111" s="54" t="e">
        <f>(((#REF!-'Hist S and D'!$P$12)*(B109+B110))+(('Hist S and D'!$P$12-'Hist S and D'!$O$12)*'Hist S and D'!$P$131)+(('Hist S and D'!$O$12-'Hist S and D'!$N$12)*'Hist S and D'!$O$131)+(('Hist S and D'!$N$12-'Hist S and D'!$M$12)*'Hist S and D'!$N$131)+('Hist S and D'!$M$12*'Hist S and D'!$M$131))</f>
        <v>#REF!</v>
      </c>
      <c r="C111" s="54" t="e">
        <f>(((#REF!-#REF!)*(C109+C110))+((#REF!-'Hist S and D'!$P$12)*B109)+(('Hist S and D'!$P$12-'Hist S and D'!$O$12)*'Hist S and D'!$P$131)+(('Hist S and D'!$O$12-'Hist S and D'!$N$12)*'Hist S and D'!$O$131)+('Hist S and D'!$N$12*'Hist S and D'!$N$131))</f>
        <v>#REF!</v>
      </c>
      <c r="D111" s="54" t="e">
        <f>(((#REF!-#REF!)*(D109+D110))+((#REF!-#REF!)*$C109)+((#REF!-'Hist S and D'!$P$12)*$B109)+(('Hist S and D'!$P$12-'Hist S and D'!$O$12)*'Hist S and D'!$P$131)+('Hist S and D'!$O$12*'Hist S and D'!$O$131))</f>
        <v>#REF!</v>
      </c>
      <c r="E111" s="54" t="e">
        <f>(((#REF!-#REF!)*(E109+E110))+((#REF!-#REF!)*$C109)+((#REF!-'Hist S and D'!$P$12)*$B109)+(('Hist S and D'!$P$12-'Hist S and D'!$O$12)*'Hist S and D'!$P$131)+('Hist S and D'!$O$12*'Hist S and D'!$O$131))</f>
        <v>#REF!</v>
      </c>
      <c r="F111" s="54" t="e">
        <f>(((#REF!-#REF!)*(F109+F110))+((#REF!-#REF!)*$E109)+((#REF!-#REF!)*$D109)+((#REF!-#REF!)*$C109)+(#REF!*$B109))</f>
        <v>#REF!</v>
      </c>
      <c r="G111" s="54" t="e">
        <f>(((#REF!-#REF!)*(G109+G110))+((#REF!-#REF!)*$E109)+((#REF!-#REF!)*$D109)+((#REF!-#REF!)*$C109)+(#REF!*$B109))</f>
        <v>#REF!</v>
      </c>
      <c r="H111" s="54">
        <v>56900</v>
      </c>
      <c r="I111" s="54">
        <v>47400</v>
      </c>
      <c r="J111" s="44">
        <v>47100</v>
      </c>
      <c r="K111" s="44">
        <v>47900</v>
      </c>
      <c r="L111" s="44">
        <v>47000</v>
      </c>
      <c r="M111" s="44">
        <v>46100</v>
      </c>
      <c r="N111" s="44">
        <v>44400</v>
      </c>
      <c r="O111" s="44">
        <v>44400</v>
      </c>
      <c r="P111" s="44">
        <v>44400</v>
      </c>
      <c r="Q111" s="44">
        <v>44300</v>
      </c>
      <c r="R111" s="44">
        <v>44300</v>
      </c>
      <c r="S111" s="44">
        <v>44300</v>
      </c>
      <c r="T111" s="44">
        <v>44300</v>
      </c>
      <c r="U111" s="44">
        <v>44300</v>
      </c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ht="18">
      <c r="A112" s="30"/>
      <c r="B112" s="54"/>
      <c r="C112" s="54"/>
      <c r="D112" s="54"/>
      <c r="E112" s="54"/>
      <c r="F112" s="54"/>
      <c r="G112" s="54"/>
      <c r="H112" s="54"/>
      <c r="I112" s="54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1:30" ht="18">
      <c r="A113" s="43" t="s">
        <v>349</v>
      </c>
      <c r="B113" s="64"/>
      <c r="C113" s="54"/>
      <c r="D113" s="54"/>
      <c r="E113" s="54"/>
      <c r="F113" s="54"/>
      <c r="G113" s="54"/>
      <c r="H113" s="54"/>
      <c r="I113" s="54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1:30" ht="18">
      <c r="A114" s="30" t="s">
        <v>183</v>
      </c>
      <c r="B114" s="54"/>
      <c r="C114" s="54"/>
      <c r="D114" s="54"/>
      <c r="E114" s="54"/>
      <c r="F114" s="54"/>
      <c r="G114" s="54"/>
      <c r="H114" s="54"/>
      <c r="I114" s="54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1:30" ht="18">
      <c r="A115" s="30"/>
      <c r="B115" s="54"/>
      <c r="C115" s="54"/>
      <c r="D115" s="54"/>
      <c r="E115" s="54"/>
      <c r="F115" s="54"/>
      <c r="G115" s="54"/>
      <c r="H115" s="54"/>
      <c r="I115" s="54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ht="18">
      <c r="A116" s="30" t="s">
        <v>184</v>
      </c>
      <c r="B116" s="54">
        <f aca="true" t="shared" si="31" ref="B116:U116">B25</f>
        <v>17216</v>
      </c>
      <c r="C116" s="54">
        <f t="shared" si="31"/>
        <v>15710</v>
      </c>
      <c r="D116" s="54">
        <f t="shared" si="31"/>
        <v>15764</v>
      </c>
      <c r="E116" s="54">
        <f t="shared" si="31"/>
        <v>19324</v>
      </c>
      <c r="F116" s="54" t="e">
        <f t="shared" si="31"/>
        <v>#REF!</v>
      </c>
      <c r="G116" s="54" t="e">
        <f t="shared" si="31"/>
        <v>#REF!</v>
      </c>
      <c r="H116" s="54" t="e">
        <f t="shared" si="31"/>
        <v>#REF!</v>
      </c>
      <c r="I116" s="54" t="e">
        <f t="shared" si="31"/>
        <v>#REF!</v>
      </c>
      <c r="J116" s="44" t="e">
        <f t="shared" si="31"/>
        <v>#REF!</v>
      </c>
      <c r="K116" s="44" t="e">
        <f t="shared" si="31"/>
        <v>#REF!</v>
      </c>
      <c r="L116" s="44" t="e">
        <f t="shared" si="31"/>
        <v>#REF!</v>
      </c>
      <c r="M116" s="44" t="e">
        <f t="shared" si="31"/>
        <v>#REF!</v>
      </c>
      <c r="N116" s="44" t="e">
        <f t="shared" si="31"/>
        <v>#REF!</v>
      </c>
      <c r="O116" s="44" t="e">
        <f t="shared" si="31"/>
        <v>#REF!</v>
      </c>
      <c r="P116" s="44" t="e">
        <f t="shared" si="31"/>
        <v>#REF!</v>
      </c>
      <c r="Q116" s="44" t="e">
        <f t="shared" si="31"/>
        <v>#REF!</v>
      </c>
      <c r="R116" s="44" t="e">
        <f t="shared" si="31"/>
        <v>#REF!</v>
      </c>
      <c r="S116" s="44" t="e">
        <f t="shared" si="31"/>
        <v>#REF!</v>
      </c>
      <c r="T116" s="44">
        <f t="shared" si="31"/>
        <v>13500</v>
      </c>
      <c r="U116" s="44">
        <f t="shared" si="31"/>
        <v>14200</v>
      </c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18">
      <c r="A117" s="30" t="s">
        <v>185</v>
      </c>
      <c r="B117" s="54">
        <f>ROUND((B13/B18*B25),-2)</f>
        <v>13300</v>
      </c>
      <c r="C117" s="54">
        <f>ROUND((C13/C18*C25),-2)</f>
        <v>13500</v>
      </c>
      <c r="D117" s="54">
        <f>ROUND((D13/D18*D25),-1)</f>
        <v>14200</v>
      </c>
      <c r="E117" s="54">
        <f>ROUND((E13/E18*E25),-2)</f>
        <v>17300</v>
      </c>
      <c r="F117" s="54" t="e">
        <f>ROUND((F13/F18*F25),-2)</f>
        <v>#REF!</v>
      </c>
      <c r="G117" s="54" t="e">
        <f>ROUND((G13/G18*G25),-2)</f>
        <v>#REF!</v>
      </c>
      <c r="H117" s="54" t="e">
        <f>ROUND((H13/H18*H25),-2)</f>
        <v>#REF!</v>
      </c>
      <c r="I117" s="54" t="e">
        <f aca="true" t="shared" si="32" ref="I117:U117">ROUND((0.97*I25),-2)</f>
        <v>#REF!</v>
      </c>
      <c r="J117" s="44" t="e">
        <f t="shared" si="32"/>
        <v>#REF!</v>
      </c>
      <c r="K117" s="44" t="e">
        <f t="shared" si="32"/>
        <v>#REF!</v>
      </c>
      <c r="L117" s="44" t="e">
        <f t="shared" si="32"/>
        <v>#REF!</v>
      </c>
      <c r="M117" s="44" t="e">
        <f t="shared" si="32"/>
        <v>#REF!</v>
      </c>
      <c r="N117" s="44" t="e">
        <f t="shared" si="32"/>
        <v>#REF!</v>
      </c>
      <c r="O117" s="44" t="e">
        <f t="shared" si="32"/>
        <v>#REF!</v>
      </c>
      <c r="P117" s="44" t="e">
        <f t="shared" si="32"/>
        <v>#REF!</v>
      </c>
      <c r="Q117" s="44" t="e">
        <f t="shared" si="32"/>
        <v>#REF!</v>
      </c>
      <c r="R117" s="44" t="e">
        <f t="shared" si="32"/>
        <v>#REF!</v>
      </c>
      <c r="S117" s="44" t="e">
        <f t="shared" si="32"/>
        <v>#REF!</v>
      </c>
      <c r="T117" s="44">
        <f t="shared" si="32"/>
        <v>13100</v>
      </c>
      <c r="U117" s="44">
        <f t="shared" si="32"/>
        <v>13800</v>
      </c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1:30" ht="18">
      <c r="A118" s="30" t="s">
        <v>186</v>
      </c>
      <c r="B118" s="54">
        <f aca="true" t="shared" si="33" ref="B118:U118">ROUND(B53/B49,3)</f>
        <v>1.119</v>
      </c>
      <c r="C118" s="54">
        <f t="shared" si="33"/>
        <v>1.026</v>
      </c>
      <c r="D118" s="54">
        <f t="shared" si="33"/>
        <v>1.11</v>
      </c>
      <c r="E118" s="54">
        <f t="shared" si="33"/>
        <v>1.44</v>
      </c>
      <c r="F118" s="54">
        <f t="shared" si="33"/>
        <v>1.452</v>
      </c>
      <c r="G118" s="54">
        <f t="shared" si="33"/>
        <v>1.335</v>
      </c>
      <c r="H118" s="54">
        <f t="shared" si="33"/>
        <v>1.256</v>
      </c>
      <c r="I118" s="54">
        <f t="shared" si="33"/>
        <v>1.159</v>
      </c>
      <c r="J118" s="52">
        <f t="shared" si="33"/>
        <v>0.867</v>
      </c>
      <c r="K118" s="52">
        <f t="shared" si="33"/>
        <v>0.959</v>
      </c>
      <c r="L118" s="52">
        <f t="shared" si="33"/>
        <v>0.574</v>
      </c>
      <c r="M118" s="52">
        <f t="shared" si="33"/>
        <v>0.856</v>
      </c>
      <c r="N118" s="52">
        <f t="shared" si="33"/>
        <v>1.188</v>
      </c>
      <c r="O118" s="52">
        <f t="shared" si="33"/>
        <v>0.8</v>
      </c>
      <c r="P118" s="52">
        <f t="shared" si="33"/>
        <v>0.917</v>
      </c>
      <c r="Q118" s="52">
        <f t="shared" si="33"/>
        <v>0.894</v>
      </c>
      <c r="R118" s="52">
        <f t="shared" si="33"/>
        <v>1.14</v>
      </c>
      <c r="S118" s="52">
        <f t="shared" si="33"/>
        <v>0.923</v>
      </c>
      <c r="T118" s="52">
        <f t="shared" si="33"/>
        <v>0.962</v>
      </c>
      <c r="U118" s="52">
        <f t="shared" si="33"/>
        <v>1.058</v>
      </c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1:30" ht="18">
      <c r="A119" s="30" t="s">
        <v>187</v>
      </c>
      <c r="B119" s="54">
        <v>4500</v>
      </c>
      <c r="C119" s="54">
        <v>4883</v>
      </c>
      <c r="D119" s="54">
        <v>6397</v>
      </c>
      <c r="E119" s="54">
        <f aca="true" t="shared" si="34" ref="E119:U119">IF(E51&lt;E49,(E117-E120)*0.95,0)</f>
        <v>0</v>
      </c>
      <c r="F119" s="54">
        <f t="shared" si="34"/>
        <v>0</v>
      </c>
      <c r="G119" s="54">
        <f t="shared" si="34"/>
        <v>0</v>
      </c>
      <c r="H119" s="54" t="e">
        <f t="shared" si="34"/>
        <v>#REF!</v>
      </c>
      <c r="I119" s="54" t="e">
        <f t="shared" si="34"/>
        <v>#REF!</v>
      </c>
      <c r="J119" s="44" t="e">
        <f t="shared" si="34"/>
        <v>#REF!</v>
      </c>
      <c r="K119" s="44" t="e">
        <f t="shared" si="34"/>
        <v>#REF!</v>
      </c>
      <c r="L119" s="44" t="e">
        <f t="shared" si="34"/>
        <v>#REF!</v>
      </c>
      <c r="M119" s="44" t="e">
        <f t="shared" si="34"/>
        <v>#REF!</v>
      </c>
      <c r="N119" s="44">
        <f t="shared" si="34"/>
        <v>0</v>
      </c>
      <c r="O119" s="44" t="e">
        <f t="shared" si="34"/>
        <v>#REF!</v>
      </c>
      <c r="P119" s="44" t="e">
        <f t="shared" si="34"/>
        <v>#REF!</v>
      </c>
      <c r="Q119" s="44" t="e">
        <f t="shared" si="34"/>
        <v>#REF!</v>
      </c>
      <c r="R119" s="44" t="e">
        <f t="shared" si="34"/>
        <v>#REF!</v>
      </c>
      <c r="S119" s="44" t="e">
        <f t="shared" si="34"/>
        <v>#REF!</v>
      </c>
      <c r="T119" s="44" t="e">
        <f t="shared" si="34"/>
        <v>#REF!</v>
      </c>
      <c r="U119" s="44" t="e">
        <f t="shared" si="34"/>
        <v>#REF!</v>
      </c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1:30" ht="18">
      <c r="A120" s="30" t="s">
        <v>188</v>
      </c>
      <c r="B120" s="54">
        <v>6302</v>
      </c>
      <c r="C120" s="54">
        <v>8302</v>
      </c>
      <c r="D120" s="54">
        <v>7721</v>
      </c>
      <c r="E120" s="54">
        <v>4720</v>
      </c>
      <c r="F120" s="54">
        <v>3478.136</v>
      </c>
      <c r="G120" s="54">
        <v>3339</v>
      </c>
      <c r="H120" s="54">
        <v>4281</v>
      </c>
      <c r="I120" s="54" t="e">
        <f>ROUND(+I121*I117/100,-2)</f>
        <v>#REF!</v>
      </c>
      <c r="J120" s="44">
        <v>9000</v>
      </c>
      <c r="K120" s="44">
        <v>8400</v>
      </c>
      <c r="L120" s="44">
        <v>5500</v>
      </c>
      <c r="M120" s="44">
        <v>5100</v>
      </c>
      <c r="N120" s="44" t="e">
        <f aca="true" t="shared" si="35" ref="N120:U120">ROUND(+N121*N117/100,-2)</f>
        <v>#REF!</v>
      </c>
      <c r="O120" s="44" t="e">
        <f t="shared" si="35"/>
        <v>#REF!</v>
      </c>
      <c r="P120" s="44" t="e">
        <f t="shared" si="35"/>
        <v>#REF!</v>
      </c>
      <c r="Q120" s="44" t="e">
        <f t="shared" si="35"/>
        <v>#REF!</v>
      </c>
      <c r="R120" s="44" t="e">
        <f t="shared" si="35"/>
        <v>#REF!</v>
      </c>
      <c r="S120" s="44" t="e">
        <f t="shared" si="35"/>
        <v>#REF!</v>
      </c>
      <c r="T120" s="44">
        <f t="shared" si="35"/>
        <v>4300</v>
      </c>
      <c r="U120" s="44">
        <f t="shared" si="35"/>
        <v>4500</v>
      </c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0" ht="18">
      <c r="A121" s="30" t="s">
        <v>189</v>
      </c>
      <c r="B121" s="54">
        <f aca="true" t="shared" si="36" ref="B121:H121">ROUND(B120/B116*100,1)</f>
        <v>36.6</v>
      </c>
      <c r="C121" s="54">
        <f t="shared" si="36"/>
        <v>52.8</v>
      </c>
      <c r="D121" s="54">
        <f t="shared" si="36"/>
        <v>49</v>
      </c>
      <c r="E121" s="54">
        <f t="shared" si="36"/>
        <v>24.4</v>
      </c>
      <c r="F121" s="54" t="e">
        <f t="shared" si="36"/>
        <v>#REF!</v>
      </c>
      <c r="G121" s="54" t="e">
        <f t="shared" si="36"/>
        <v>#REF!</v>
      </c>
      <c r="H121" s="54" t="e">
        <f t="shared" si="36"/>
        <v>#REF!</v>
      </c>
      <c r="I121" s="54">
        <v>25</v>
      </c>
      <c r="J121" s="53">
        <v>32.5</v>
      </c>
      <c r="K121" s="53">
        <v>32.5</v>
      </c>
      <c r="L121" s="53">
        <v>32.5</v>
      </c>
      <c r="M121" s="53">
        <v>32.5</v>
      </c>
      <c r="N121" s="53">
        <v>32.5</v>
      </c>
      <c r="O121" s="53">
        <v>32.5</v>
      </c>
      <c r="P121" s="53">
        <v>32.5</v>
      </c>
      <c r="Q121" s="53">
        <v>32.5</v>
      </c>
      <c r="R121" s="53">
        <v>32.5</v>
      </c>
      <c r="S121" s="53">
        <v>32.5</v>
      </c>
      <c r="T121" s="53">
        <v>32.5</v>
      </c>
      <c r="U121" s="53">
        <v>32.5</v>
      </c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ht="18">
      <c r="A122" s="30"/>
      <c r="B122" s="54"/>
      <c r="C122" s="54"/>
      <c r="D122" s="54"/>
      <c r="E122" s="54"/>
      <c r="F122" s="54"/>
      <c r="G122" s="54"/>
      <c r="H122" s="54"/>
      <c r="I122" s="5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ht="18">
      <c r="A123" s="30" t="s">
        <v>193</v>
      </c>
      <c r="B123" s="54"/>
      <c r="C123" s="54"/>
      <c r="D123" s="54"/>
      <c r="E123" s="54"/>
      <c r="F123" s="54"/>
      <c r="G123" s="54"/>
      <c r="H123" s="54"/>
      <c r="I123" s="5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18">
      <c r="A124" s="30" t="s">
        <v>190</v>
      </c>
      <c r="B124" s="54">
        <f aca="true" t="shared" si="37" ref="B124:U124">B35</f>
        <v>0</v>
      </c>
      <c r="C124" s="54">
        <f t="shared" si="37"/>
        <v>8</v>
      </c>
      <c r="D124" s="54">
        <f t="shared" si="37"/>
        <v>14</v>
      </c>
      <c r="E124" s="54">
        <f t="shared" si="37"/>
        <v>0</v>
      </c>
      <c r="F124" s="54">
        <f t="shared" si="37"/>
        <v>0</v>
      </c>
      <c r="G124" s="54">
        <f t="shared" si="37"/>
        <v>0</v>
      </c>
      <c r="H124" s="54">
        <f t="shared" si="37"/>
        <v>0</v>
      </c>
      <c r="I124" s="54">
        <f t="shared" si="37"/>
        <v>0</v>
      </c>
      <c r="J124" s="44">
        <f t="shared" si="37"/>
        <v>31</v>
      </c>
      <c r="K124" s="44">
        <f t="shared" si="37"/>
        <v>6</v>
      </c>
      <c r="L124" s="44">
        <f t="shared" si="37"/>
        <v>89</v>
      </c>
      <c r="M124" s="44">
        <f t="shared" si="37"/>
        <v>257</v>
      </c>
      <c r="N124" s="44">
        <f t="shared" si="37"/>
        <v>45</v>
      </c>
      <c r="O124" s="44">
        <f t="shared" si="37"/>
        <v>0</v>
      </c>
      <c r="P124" s="44">
        <f t="shared" si="37"/>
        <v>0</v>
      </c>
      <c r="Q124" s="44">
        <f t="shared" si="37"/>
        <v>0</v>
      </c>
      <c r="R124" s="44">
        <f t="shared" si="37"/>
        <v>0</v>
      </c>
      <c r="S124" s="44">
        <f t="shared" si="37"/>
        <v>0</v>
      </c>
      <c r="T124" s="44">
        <f t="shared" si="37"/>
        <v>0</v>
      </c>
      <c r="U124" s="44">
        <f t="shared" si="37"/>
        <v>0</v>
      </c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1:30" ht="18">
      <c r="A125" s="30" t="s">
        <v>194</v>
      </c>
      <c r="B125" s="54">
        <v>0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1:30" ht="18">
      <c r="A126" s="30" t="s">
        <v>192</v>
      </c>
      <c r="B126" s="54">
        <f aca="true" t="shared" si="38" ref="B126:U126">B38</f>
        <v>297</v>
      </c>
      <c r="C126" s="54">
        <f t="shared" si="38"/>
        <v>558</v>
      </c>
      <c r="D126" s="54">
        <f t="shared" si="38"/>
        <v>179</v>
      </c>
      <c r="E126" s="54">
        <f t="shared" si="38"/>
        <v>165</v>
      </c>
      <c r="F126" s="54">
        <f t="shared" si="38"/>
        <v>312</v>
      </c>
      <c r="G126" s="54">
        <f t="shared" si="38"/>
        <v>311</v>
      </c>
      <c r="H126" s="54">
        <f t="shared" si="38"/>
        <v>59</v>
      </c>
      <c r="I126" s="54">
        <f t="shared" si="38"/>
        <v>321</v>
      </c>
      <c r="J126" s="44">
        <f t="shared" si="38"/>
        <v>68</v>
      </c>
      <c r="K126" s="44">
        <f t="shared" si="38"/>
        <v>1460</v>
      </c>
      <c r="L126" s="44">
        <f t="shared" si="38"/>
        <v>665</v>
      </c>
      <c r="M126" s="44">
        <f t="shared" si="38"/>
        <v>668</v>
      </c>
      <c r="N126" s="44">
        <f t="shared" si="38"/>
        <v>1371</v>
      </c>
      <c r="O126" s="44">
        <f t="shared" si="38"/>
        <v>301</v>
      </c>
      <c r="P126" s="44">
        <f t="shared" si="38"/>
        <v>1185</v>
      </c>
      <c r="Q126" s="44">
        <f t="shared" si="38"/>
        <v>857</v>
      </c>
      <c r="R126" s="44">
        <f t="shared" si="38"/>
        <v>3819</v>
      </c>
      <c r="S126" s="44" t="e">
        <f t="shared" si="38"/>
        <v>#REF!</v>
      </c>
      <c r="T126" s="44" t="e">
        <f t="shared" si="38"/>
        <v>#REF!</v>
      </c>
      <c r="U126" s="44" t="e">
        <f t="shared" si="38"/>
        <v>#REF!</v>
      </c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1:30" ht="18">
      <c r="A127" s="30"/>
      <c r="B127" s="54"/>
      <c r="C127" s="54"/>
      <c r="D127" s="54"/>
      <c r="E127" s="54"/>
      <c r="F127" s="54"/>
      <c r="G127" s="54"/>
      <c r="H127" s="54"/>
      <c r="I127" s="5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ht="18">
      <c r="A128" s="30" t="s">
        <v>191</v>
      </c>
      <c r="B128" s="54">
        <f aca="true" t="shared" si="39" ref="B128:U128">SUM(B124:B126)</f>
        <v>297</v>
      </c>
      <c r="C128" s="54">
        <f t="shared" si="39"/>
        <v>566</v>
      </c>
      <c r="D128" s="54">
        <f t="shared" si="39"/>
        <v>193</v>
      </c>
      <c r="E128" s="54">
        <f t="shared" si="39"/>
        <v>165</v>
      </c>
      <c r="F128" s="54">
        <f t="shared" si="39"/>
        <v>312</v>
      </c>
      <c r="G128" s="54">
        <f t="shared" si="39"/>
        <v>311</v>
      </c>
      <c r="H128" s="54">
        <f t="shared" si="39"/>
        <v>59</v>
      </c>
      <c r="I128" s="54">
        <f t="shared" si="39"/>
        <v>321</v>
      </c>
      <c r="J128" s="44">
        <f t="shared" si="39"/>
        <v>99</v>
      </c>
      <c r="K128" s="44">
        <f t="shared" si="39"/>
        <v>1466</v>
      </c>
      <c r="L128" s="44">
        <f t="shared" si="39"/>
        <v>754</v>
      </c>
      <c r="M128" s="44">
        <f t="shared" si="39"/>
        <v>925</v>
      </c>
      <c r="N128" s="44">
        <f t="shared" si="39"/>
        <v>1416</v>
      </c>
      <c r="O128" s="44">
        <f t="shared" si="39"/>
        <v>301</v>
      </c>
      <c r="P128" s="44">
        <f t="shared" si="39"/>
        <v>1185</v>
      </c>
      <c r="Q128" s="44">
        <f t="shared" si="39"/>
        <v>857</v>
      </c>
      <c r="R128" s="44">
        <f t="shared" si="39"/>
        <v>3819</v>
      </c>
      <c r="S128" s="44" t="e">
        <f t="shared" si="39"/>
        <v>#REF!</v>
      </c>
      <c r="T128" s="44" t="e">
        <f t="shared" si="39"/>
        <v>#REF!</v>
      </c>
      <c r="U128" s="44" t="e">
        <f t="shared" si="39"/>
        <v>#REF!</v>
      </c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1:30" ht="18">
      <c r="A129" s="30"/>
      <c r="B129" s="54"/>
      <c r="C129" s="54"/>
      <c r="D129" s="54"/>
      <c r="E129" s="54"/>
      <c r="F129" s="54"/>
      <c r="G129" s="54"/>
      <c r="H129" s="54"/>
      <c r="I129" s="5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1:30" ht="18">
      <c r="A130" s="43" t="s">
        <v>350</v>
      </c>
      <c r="B130" s="54"/>
      <c r="C130" s="54"/>
      <c r="D130" s="54"/>
      <c r="E130" s="54"/>
      <c r="F130" s="65" t="s">
        <v>351</v>
      </c>
      <c r="G130" s="65" t="s">
        <v>352</v>
      </c>
      <c r="H130" s="65" t="s">
        <v>353</v>
      </c>
      <c r="I130" s="65" t="s">
        <v>354</v>
      </c>
      <c r="J130" s="66" t="s">
        <v>355</v>
      </c>
      <c r="K130" s="66" t="s">
        <v>356</v>
      </c>
      <c r="L130" s="66" t="s">
        <v>357</v>
      </c>
      <c r="M130" s="66" t="s">
        <v>358</v>
      </c>
      <c r="N130" s="66" t="s">
        <v>359</v>
      </c>
      <c r="O130" s="66" t="s">
        <v>360</v>
      </c>
      <c r="P130" s="66" t="s">
        <v>361</v>
      </c>
      <c r="Q130" s="66" t="s">
        <v>362</v>
      </c>
      <c r="R130" s="66" t="s">
        <v>363</v>
      </c>
      <c r="S130" s="66" t="s">
        <v>363</v>
      </c>
      <c r="T130" s="66" t="s">
        <v>363</v>
      </c>
      <c r="U130" s="66" t="s">
        <v>363</v>
      </c>
      <c r="V130" s="67"/>
      <c r="W130" s="67"/>
      <c r="X130" s="67"/>
      <c r="Y130" s="30"/>
      <c r="Z130" s="30"/>
      <c r="AA130" s="30"/>
      <c r="AB130" s="30"/>
      <c r="AC130" s="30"/>
      <c r="AD130" s="30"/>
    </row>
    <row r="131" spans="1:30" ht="18">
      <c r="A131" s="30" t="s">
        <v>364</v>
      </c>
      <c r="B131" s="54">
        <v>78</v>
      </c>
      <c r="C131" s="54">
        <v>200</v>
      </c>
      <c r="D131" s="54">
        <v>259</v>
      </c>
      <c r="E131" s="54">
        <v>60</v>
      </c>
      <c r="F131" s="54">
        <v>18</v>
      </c>
      <c r="G131" s="54">
        <f aca="true" t="shared" si="40" ref="G131:U131">F151</f>
        <v>191</v>
      </c>
      <c r="H131" s="54">
        <f t="shared" si="40"/>
        <v>43.07313699999986</v>
      </c>
      <c r="I131" s="54" t="e">
        <f t="shared" si="40"/>
        <v>#REF!</v>
      </c>
      <c r="J131" s="44" t="e">
        <f t="shared" si="40"/>
        <v>#REF!</v>
      </c>
      <c r="K131" s="44" t="e">
        <f t="shared" si="40"/>
        <v>#REF!</v>
      </c>
      <c r="L131" s="44" t="e">
        <f t="shared" si="40"/>
        <v>#REF!</v>
      </c>
      <c r="M131" s="44" t="e">
        <f t="shared" si="40"/>
        <v>#REF!</v>
      </c>
      <c r="N131" s="44" t="e">
        <f t="shared" si="40"/>
        <v>#REF!</v>
      </c>
      <c r="O131" s="44" t="e">
        <f t="shared" si="40"/>
        <v>#REF!</v>
      </c>
      <c r="P131" s="44" t="e">
        <f t="shared" si="40"/>
        <v>#REF!</v>
      </c>
      <c r="Q131" s="44" t="e">
        <f t="shared" si="40"/>
        <v>#REF!</v>
      </c>
      <c r="R131" s="44" t="e">
        <f t="shared" si="40"/>
        <v>#REF!</v>
      </c>
      <c r="S131" s="44" t="e">
        <f t="shared" si="40"/>
        <v>#REF!</v>
      </c>
      <c r="T131" s="44" t="e">
        <f t="shared" si="40"/>
        <v>#REF!</v>
      </c>
      <c r="U131" s="44" t="e">
        <f t="shared" si="40"/>
        <v>#REF!</v>
      </c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1:30" ht="18">
      <c r="A132" s="30" t="s">
        <v>365</v>
      </c>
      <c r="B132" s="54">
        <v>6500</v>
      </c>
      <c r="C132" s="54">
        <v>8375</v>
      </c>
      <c r="D132" s="54">
        <v>7621</v>
      </c>
      <c r="E132" s="54">
        <v>4606</v>
      </c>
      <c r="F132" s="54">
        <v>3481</v>
      </c>
      <c r="G132" s="54">
        <f aca="true" t="shared" si="41" ref="G132:U132">G120-F133</f>
        <v>3219.073137</v>
      </c>
      <c r="H132" s="54">
        <f t="shared" si="41"/>
        <v>4280</v>
      </c>
      <c r="I132" s="54" t="e">
        <f t="shared" si="41"/>
        <v>#REF!</v>
      </c>
      <c r="J132" s="44">
        <f t="shared" si="41"/>
        <v>8685</v>
      </c>
      <c r="K132" s="44">
        <f t="shared" si="41"/>
        <v>8106</v>
      </c>
      <c r="L132" s="44">
        <f t="shared" si="41"/>
        <v>5307.5</v>
      </c>
      <c r="M132" s="44">
        <f t="shared" si="41"/>
        <v>4921.5</v>
      </c>
      <c r="N132" s="44" t="e">
        <f t="shared" si="41"/>
        <v>#REF!</v>
      </c>
      <c r="O132" s="44" t="e">
        <f t="shared" si="41"/>
        <v>#REF!</v>
      </c>
      <c r="P132" s="44" t="e">
        <f t="shared" si="41"/>
        <v>#REF!</v>
      </c>
      <c r="Q132" s="44" t="e">
        <f t="shared" si="41"/>
        <v>#REF!</v>
      </c>
      <c r="R132" s="44" t="e">
        <f t="shared" si="41"/>
        <v>#REF!</v>
      </c>
      <c r="S132" s="44" t="e">
        <f t="shared" si="41"/>
        <v>#REF!</v>
      </c>
      <c r="T132" s="44">
        <f t="shared" si="41"/>
        <v>4149.5</v>
      </c>
      <c r="U132" s="44">
        <f t="shared" si="41"/>
        <v>4342.5</v>
      </c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1:30" ht="18">
      <c r="A133" s="30" t="s">
        <v>366</v>
      </c>
      <c r="B133" s="54"/>
      <c r="C133" s="54"/>
      <c r="D133" s="54"/>
      <c r="E133" s="54"/>
      <c r="F133" s="54">
        <f>G120*0.035917</f>
        <v>119.926863</v>
      </c>
      <c r="G133" s="54">
        <v>1</v>
      </c>
      <c r="H133" s="54" t="e">
        <f aca="true" t="shared" si="42" ref="H133:U133">I120*0.035</f>
        <v>#REF!</v>
      </c>
      <c r="I133" s="54">
        <f t="shared" si="42"/>
        <v>315.00000000000006</v>
      </c>
      <c r="J133" s="44">
        <f t="shared" si="42"/>
        <v>294</v>
      </c>
      <c r="K133" s="44">
        <f t="shared" si="42"/>
        <v>192.50000000000003</v>
      </c>
      <c r="L133" s="44">
        <f t="shared" si="42"/>
        <v>178.50000000000003</v>
      </c>
      <c r="M133" s="44" t="e">
        <f t="shared" si="42"/>
        <v>#REF!</v>
      </c>
      <c r="N133" s="44" t="e">
        <f t="shared" si="42"/>
        <v>#REF!</v>
      </c>
      <c r="O133" s="44" t="e">
        <f t="shared" si="42"/>
        <v>#REF!</v>
      </c>
      <c r="P133" s="44" t="e">
        <f t="shared" si="42"/>
        <v>#REF!</v>
      </c>
      <c r="Q133" s="44" t="e">
        <f t="shared" si="42"/>
        <v>#REF!</v>
      </c>
      <c r="R133" s="44" t="e">
        <f t="shared" si="42"/>
        <v>#REF!</v>
      </c>
      <c r="S133" s="44">
        <f t="shared" si="42"/>
        <v>150.50000000000003</v>
      </c>
      <c r="T133" s="44">
        <f t="shared" si="42"/>
        <v>157.50000000000003</v>
      </c>
      <c r="U133" s="44">
        <f t="shared" si="42"/>
        <v>0</v>
      </c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30" ht="18">
      <c r="A134" s="30" t="s">
        <v>367</v>
      </c>
      <c r="B134" s="54"/>
      <c r="C134" s="54"/>
      <c r="D134" s="54"/>
      <c r="E134" s="54"/>
      <c r="F134" s="54">
        <f aca="true" t="shared" si="43" ref="F134:U134">F132+F133</f>
        <v>3600.926863</v>
      </c>
      <c r="G134" s="54">
        <f t="shared" si="43"/>
        <v>3220.073137</v>
      </c>
      <c r="H134" s="54" t="e">
        <f t="shared" si="43"/>
        <v>#REF!</v>
      </c>
      <c r="I134" s="54" t="e">
        <f t="shared" si="43"/>
        <v>#REF!</v>
      </c>
      <c r="J134" s="44">
        <f t="shared" si="43"/>
        <v>8979</v>
      </c>
      <c r="K134" s="44">
        <f t="shared" si="43"/>
        <v>8298.5</v>
      </c>
      <c r="L134" s="44">
        <f t="shared" si="43"/>
        <v>5486</v>
      </c>
      <c r="M134" s="44" t="e">
        <f t="shared" si="43"/>
        <v>#REF!</v>
      </c>
      <c r="N134" s="44" t="e">
        <f t="shared" si="43"/>
        <v>#REF!</v>
      </c>
      <c r="O134" s="44" t="e">
        <f t="shared" si="43"/>
        <v>#REF!</v>
      </c>
      <c r="P134" s="44" t="e">
        <f t="shared" si="43"/>
        <v>#REF!</v>
      </c>
      <c r="Q134" s="44" t="e">
        <f t="shared" si="43"/>
        <v>#REF!</v>
      </c>
      <c r="R134" s="44" t="e">
        <f t="shared" si="43"/>
        <v>#REF!</v>
      </c>
      <c r="S134" s="44" t="e">
        <f t="shared" si="43"/>
        <v>#REF!</v>
      </c>
      <c r="T134" s="44">
        <f t="shared" si="43"/>
        <v>4307</v>
      </c>
      <c r="U134" s="44">
        <f t="shared" si="43"/>
        <v>4342.5</v>
      </c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1:30" ht="18">
      <c r="A135" s="30"/>
      <c r="B135" s="54"/>
      <c r="C135" s="54"/>
      <c r="D135" s="54"/>
      <c r="E135" s="54"/>
      <c r="F135" s="54"/>
      <c r="G135" s="54"/>
      <c r="H135" s="54"/>
      <c r="I135" s="5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1:30" ht="18">
      <c r="A136" s="30" t="s">
        <v>368</v>
      </c>
      <c r="B136" s="54"/>
      <c r="C136" s="54"/>
      <c r="D136" s="54"/>
      <c r="E136" s="54"/>
      <c r="F136" s="54"/>
      <c r="G136" s="54">
        <v>24</v>
      </c>
      <c r="H136" s="54"/>
      <c r="I136" s="5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ht="18">
      <c r="A137" s="30" t="s">
        <v>195</v>
      </c>
      <c r="B137" s="54">
        <v>252</v>
      </c>
      <c r="C137" s="54">
        <v>421</v>
      </c>
      <c r="D137" s="54">
        <v>229</v>
      </c>
      <c r="E137" s="54">
        <v>9</v>
      </c>
      <c r="F137" s="54">
        <v>0</v>
      </c>
      <c r="G137" s="54">
        <v>0</v>
      </c>
      <c r="H137" s="54">
        <v>0</v>
      </c>
      <c r="I137" s="5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1:30" ht="18">
      <c r="A138" s="30" t="s">
        <v>198</v>
      </c>
      <c r="B138" s="54"/>
      <c r="C138" s="54"/>
      <c r="D138" s="54"/>
      <c r="E138" s="54"/>
      <c r="F138" s="54"/>
      <c r="G138" s="54"/>
      <c r="H138" s="54"/>
      <c r="I138" s="5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30" ht="18">
      <c r="A139" s="30" t="s">
        <v>369</v>
      </c>
      <c r="B139" s="54">
        <v>0</v>
      </c>
      <c r="C139" s="54">
        <v>0</v>
      </c>
      <c r="D139" s="54">
        <v>1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8">
      <c r="A140" s="30" t="s">
        <v>370</v>
      </c>
      <c r="B140" s="54">
        <v>34</v>
      </c>
      <c r="C140" s="54">
        <v>84</v>
      </c>
      <c r="D140" s="54">
        <v>72</v>
      </c>
      <c r="E140" s="54">
        <v>24</v>
      </c>
      <c r="F140" s="54">
        <v>16</v>
      </c>
      <c r="G140" s="54">
        <v>88</v>
      </c>
      <c r="H140" s="54">
        <f aca="true" t="shared" si="44" ref="H140:U140">G120-G141-F142</f>
        <v>59</v>
      </c>
      <c r="I140" s="54">
        <f t="shared" si="44"/>
        <v>0</v>
      </c>
      <c r="J140" s="44" t="e">
        <f t="shared" si="44"/>
        <v>#REF!</v>
      </c>
      <c r="K140" s="44">
        <f t="shared" si="44"/>
        <v>0</v>
      </c>
      <c r="L140" s="44">
        <f t="shared" si="44"/>
        <v>0</v>
      </c>
      <c r="M140" s="44">
        <f t="shared" si="44"/>
        <v>0</v>
      </c>
      <c r="N140" s="44">
        <f t="shared" si="44"/>
        <v>0</v>
      </c>
      <c r="O140" s="44" t="e">
        <f t="shared" si="44"/>
        <v>#REF!</v>
      </c>
      <c r="P140" s="44" t="e">
        <f t="shared" si="44"/>
        <v>#REF!</v>
      </c>
      <c r="Q140" s="44" t="e">
        <f t="shared" si="44"/>
        <v>#REF!</v>
      </c>
      <c r="R140" s="44" t="e">
        <f t="shared" si="44"/>
        <v>#REF!</v>
      </c>
      <c r="S140" s="44" t="e">
        <f t="shared" si="44"/>
        <v>#REF!</v>
      </c>
      <c r="T140" s="44" t="e">
        <f t="shared" si="44"/>
        <v>#REF!</v>
      </c>
      <c r="U140" s="44">
        <f t="shared" si="44"/>
        <v>0</v>
      </c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1:30" ht="18">
      <c r="A141" s="30" t="s">
        <v>371</v>
      </c>
      <c r="B141" s="54">
        <v>6028</v>
      </c>
      <c r="C141" s="54">
        <v>7738</v>
      </c>
      <c r="D141" s="54">
        <v>7425</v>
      </c>
      <c r="E141" s="54">
        <v>4614</v>
      </c>
      <c r="F141" s="54">
        <v>3387</v>
      </c>
      <c r="G141" s="54">
        <v>3256</v>
      </c>
      <c r="H141" s="54">
        <f aca="true" t="shared" si="45" ref="H141:U141">H120-G142</f>
        <v>4281</v>
      </c>
      <c r="I141" s="54" t="e">
        <f t="shared" si="45"/>
        <v>#REF!</v>
      </c>
      <c r="J141" s="44">
        <f t="shared" si="45"/>
        <v>8921.25</v>
      </c>
      <c r="K141" s="44">
        <f t="shared" si="45"/>
        <v>8326.5</v>
      </c>
      <c r="L141" s="44">
        <f t="shared" si="45"/>
        <v>5451.875</v>
      </c>
      <c r="M141" s="44">
        <f t="shared" si="45"/>
        <v>5055.375</v>
      </c>
      <c r="N141" s="44" t="e">
        <f t="shared" si="45"/>
        <v>#REF!</v>
      </c>
      <c r="O141" s="44" t="e">
        <f t="shared" si="45"/>
        <v>#REF!</v>
      </c>
      <c r="P141" s="44" t="e">
        <f t="shared" si="45"/>
        <v>#REF!</v>
      </c>
      <c r="Q141" s="44" t="e">
        <f t="shared" si="45"/>
        <v>#REF!</v>
      </c>
      <c r="R141" s="44" t="e">
        <f t="shared" si="45"/>
        <v>#REF!</v>
      </c>
      <c r="S141" s="44" t="e">
        <f t="shared" si="45"/>
        <v>#REF!</v>
      </c>
      <c r="T141" s="44">
        <f t="shared" si="45"/>
        <v>4262.375</v>
      </c>
      <c r="U141" s="44">
        <f t="shared" si="45"/>
        <v>4460.625</v>
      </c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ht="18">
      <c r="A142" s="30" t="s">
        <v>372</v>
      </c>
      <c r="B142" s="44">
        <v>62</v>
      </c>
      <c r="C142" s="44">
        <v>62</v>
      </c>
      <c r="D142" s="44">
        <v>85</v>
      </c>
      <c r="E142" s="44"/>
      <c r="F142" s="44">
        <v>24</v>
      </c>
      <c r="G142" s="44">
        <v>0</v>
      </c>
      <c r="H142" s="44" t="e">
        <f aca="true" t="shared" si="46" ref="H142:U142">H133*0.25</f>
        <v>#REF!</v>
      </c>
      <c r="I142" s="44">
        <f t="shared" si="46"/>
        <v>78.75000000000001</v>
      </c>
      <c r="J142" s="44">
        <f t="shared" si="46"/>
        <v>73.5</v>
      </c>
      <c r="K142" s="44">
        <f t="shared" si="46"/>
        <v>48.12500000000001</v>
      </c>
      <c r="L142" s="44">
        <f t="shared" si="46"/>
        <v>44.62500000000001</v>
      </c>
      <c r="M142" s="44" t="e">
        <f t="shared" si="46"/>
        <v>#REF!</v>
      </c>
      <c r="N142" s="44" t="e">
        <f t="shared" si="46"/>
        <v>#REF!</v>
      </c>
      <c r="O142" s="44" t="e">
        <f t="shared" si="46"/>
        <v>#REF!</v>
      </c>
      <c r="P142" s="44" t="e">
        <f t="shared" si="46"/>
        <v>#REF!</v>
      </c>
      <c r="Q142" s="44" t="e">
        <f t="shared" si="46"/>
        <v>#REF!</v>
      </c>
      <c r="R142" s="44" t="e">
        <f t="shared" si="46"/>
        <v>#REF!</v>
      </c>
      <c r="S142" s="44">
        <f t="shared" si="46"/>
        <v>37.62500000000001</v>
      </c>
      <c r="T142" s="44">
        <f t="shared" si="46"/>
        <v>39.37500000000001</v>
      </c>
      <c r="U142" s="44">
        <f t="shared" si="46"/>
        <v>0</v>
      </c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1:30" ht="18">
      <c r="A143" s="30" t="s">
        <v>373</v>
      </c>
      <c r="B143" s="44">
        <f aca="true" t="shared" si="47" ref="B143:U143">SUM(B139:B142)</f>
        <v>6124</v>
      </c>
      <c r="C143" s="44">
        <f t="shared" si="47"/>
        <v>7884</v>
      </c>
      <c r="D143" s="44">
        <f t="shared" si="47"/>
        <v>7583</v>
      </c>
      <c r="E143" s="44">
        <f t="shared" si="47"/>
        <v>4638</v>
      </c>
      <c r="F143" s="44">
        <f t="shared" si="47"/>
        <v>3427</v>
      </c>
      <c r="G143" s="44">
        <f t="shared" si="47"/>
        <v>3344</v>
      </c>
      <c r="H143" s="44" t="e">
        <f t="shared" si="47"/>
        <v>#REF!</v>
      </c>
      <c r="I143" s="44" t="e">
        <f t="shared" si="47"/>
        <v>#REF!</v>
      </c>
      <c r="J143" s="44" t="e">
        <f t="shared" si="47"/>
        <v>#REF!</v>
      </c>
      <c r="K143" s="44">
        <f t="shared" si="47"/>
        <v>8374.625</v>
      </c>
      <c r="L143" s="44">
        <f t="shared" si="47"/>
        <v>5496.5</v>
      </c>
      <c r="M143" s="44" t="e">
        <f t="shared" si="47"/>
        <v>#REF!</v>
      </c>
      <c r="N143" s="44" t="e">
        <f t="shared" si="47"/>
        <v>#REF!</v>
      </c>
      <c r="O143" s="44" t="e">
        <f t="shared" si="47"/>
        <v>#REF!</v>
      </c>
      <c r="P143" s="44" t="e">
        <f t="shared" si="47"/>
        <v>#REF!</v>
      </c>
      <c r="Q143" s="44" t="e">
        <f t="shared" si="47"/>
        <v>#REF!</v>
      </c>
      <c r="R143" s="44" t="e">
        <f t="shared" si="47"/>
        <v>#REF!</v>
      </c>
      <c r="S143" s="44" t="e">
        <f t="shared" si="47"/>
        <v>#REF!</v>
      </c>
      <c r="T143" s="44" t="e">
        <f t="shared" si="47"/>
        <v>#REF!</v>
      </c>
      <c r="U143" s="44">
        <f t="shared" si="47"/>
        <v>4460.625</v>
      </c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1:30" ht="18">
      <c r="A144" s="30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1:30" ht="18">
      <c r="A145" s="30" t="s">
        <v>199</v>
      </c>
      <c r="B145" s="44">
        <f aca="true" t="shared" si="48" ref="B145:U145">B137+B143</f>
        <v>6376</v>
      </c>
      <c r="C145" s="44">
        <f t="shared" si="48"/>
        <v>8305</v>
      </c>
      <c r="D145" s="44">
        <f t="shared" si="48"/>
        <v>7812</v>
      </c>
      <c r="E145" s="44">
        <f t="shared" si="48"/>
        <v>4647</v>
      </c>
      <c r="F145" s="44">
        <f t="shared" si="48"/>
        <v>3427</v>
      </c>
      <c r="G145" s="44">
        <f t="shared" si="48"/>
        <v>3344</v>
      </c>
      <c r="H145" s="44" t="e">
        <f t="shared" si="48"/>
        <v>#REF!</v>
      </c>
      <c r="I145" s="44" t="e">
        <f t="shared" si="48"/>
        <v>#REF!</v>
      </c>
      <c r="J145" s="44" t="e">
        <f t="shared" si="48"/>
        <v>#REF!</v>
      </c>
      <c r="K145" s="44">
        <f t="shared" si="48"/>
        <v>8374.625</v>
      </c>
      <c r="L145" s="44">
        <f t="shared" si="48"/>
        <v>5496.5</v>
      </c>
      <c r="M145" s="44" t="e">
        <f t="shared" si="48"/>
        <v>#REF!</v>
      </c>
      <c r="N145" s="44" t="e">
        <f t="shared" si="48"/>
        <v>#REF!</v>
      </c>
      <c r="O145" s="44" t="e">
        <f t="shared" si="48"/>
        <v>#REF!</v>
      </c>
      <c r="P145" s="44" t="e">
        <f t="shared" si="48"/>
        <v>#REF!</v>
      </c>
      <c r="Q145" s="44" t="e">
        <f t="shared" si="48"/>
        <v>#REF!</v>
      </c>
      <c r="R145" s="44" t="e">
        <f t="shared" si="48"/>
        <v>#REF!</v>
      </c>
      <c r="S145" s="44" t="e">
        <f t="shared" si="48"/>
        <v>#REF!</v>
      </c>
      <c r="T145" s="44" t="e">
        <f t="shared" si="48"/>
        <v>#REF!</v>
      </c>
      <c r="U145" s="44">
        <f t="shared" si="48"/>
        <v>4460.625</v>
      </c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1:30" ht="18">
      <c r="A146" s="30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1:30" ht="18">
      <c r="A147" s="30" t="s">
        <v>200</v>
      </c>
      <c r="B147" s="44">
        <f>B148+B149+B150</f>
        <v>2</v>
      </c>
      <c r="C147" s="44">
        <f>C148+C149+C150</f>
        <v>11</v>
      </c>
      <c r="D147" s="44">
        <v>7</v>
      </c>
      <c r="E147" s="44">
        <f aca="true" t="shared" si="49" ref="E147:U147">E148+E149+E150</f>
        <v>1</v>
      </c>
      <c r="F147" s="44">
        <f t="shared" si="49"/>
        <v>0</v>
      </c>
      <c r="G147" s="44">
        <f t="shared" si="49"/>
        <v>0</v>
      </c>
      <c r="H147" s="44">
        <f t="shared" si="49"/>
        <v>0</v>
      </c>
      <c r="I147" s="44">
        <f t="shared" si="49"/>
        <v>0</v>
      </c>
      <c r="J147" s="44">
        <f t="shared" si="49"/>
        <v>0</v>
      </c>
      <c r="K147" s="44">
        <f t="shared" si="49"/>
        <v>0</v>
      </c>
      <c r="L147" s="44">
        <f t="shared" si="49"/>
        <v>0</v>
      </c>
      <c r="M147" s="44">
        <f t="shared" si="49"/>
        <v>0</v>
      </c>
      <c r="N147" s="44">
        <f t="shared" si="49"/>
        <v>0</v>
      </c>
      <c r="O147" s="44">
        <f t="shared" si="49"/>
        <v>0</v>
      </c>
      <c r="P147" s="44">
        <f t="shared" si="49"/>
        <v>0</v>
      </c>
      <c r="Q147" s="44">
        <f t="shared" si="49"/>
        <v>0</v>
      </c>
      <c r="R147" s="44">
        <f t="shared" si="49"/>
        <v>0</v>
      </c>
      <c r="S147" s="44">
        <f t="shared" si="49"/>
        <v>0</v>
      </c>
      <c r="T147" s="44">
        <f t="shared" si="49"/>
        <v>0</v>
      </c>
      <c r="U147" s="44">
        <f t="shared" si="49"/>
        <v>0</v>
      </c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1:30" ht="18">
      <c r="A148" s="30" t="s">
        <v>374</v>
      </c>
      <c r="B148" s="44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1:30" ht="18">
      <c r="A149" s="30" t="s">
        <v>196</v>
      </c>
      <c r="B149" s="44">
        <v>0</v>
      </c>
      <c r="C149" s="44">
        <v>6</v>
      </c>
      <c r="D149" s="44">
        <v>7</v>
      </c>
      <c r="E149" s="44">
        <v>1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1:30" ht="18">
      <c r="A150" s="30" t="s">
        <v>197</v>
      </c>
      <c r="B150" s="30">
        <v>2</v>
      </c>
      <c r="C150" s="30">
        <v>5</v>
      </c>
      <c r="D150" s="30"/>
      <c r="E150" s="30"/>
      <c r="F150" s="30"/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1:30" ht="18">
      <c r="A151" s="30" t="s">
        <v>375</v>
      </c>
      <c r="B151" s="44">
        <v>200</v>
      </c>
      <c r="C151" s="44">
        <v>259</v>
      </c>
      <c r="D151" s="44">
        <v>60</v>
      </c>
      <c r="E151" s="44">
        <v>18</v>
      </c>
      <c r="F151" s="44">
        <v>191</v>
      </c>
      <c r="G151" s="44">
        <f>G131+G134-G136-G145-G148-G149-G150</f>
        <v>43.07313699999986</v>
      </c>
      <c r="H151" s="44" t="e">
        <f aca="true" t="shared" si="50" ref="H151:U151">H131+H134-H145-H148-H149-H150</f>
        <v>#REF!</v>
      </c>
      <c r="I151" s="44" t="e">
        <f t="shared" si="50"/>
        <v>#REF!</v>
      </c>
      <c r="J151" s="44" t="e">
        <f t="shared" si="50"/>
        <v>#REF!</v>
      </c>
      <c r="K151" s="44" t="e">
        <f t="shared" si="50"/>
        <v>#REF!</v>
      </c>
      <c r="L151" s="44" t="e">
        <f t="shared" si="50"/>
        <v>#REF!</v>
      </c>
      <c r="M151" s="44" t="e">
        <f t="shared" si="50"/>
        <v>#REF!</v>
      </c>
      <c r="N151" s="44" t="e">
        <f t="shared" si="50"/>
        <v>#REF!</v>
      </c>
      <c r="O151" s="44" t="e">
        <f t="shared" si="50"/>
        <v>#REF!</v>
      </c>
      <c r="P151" s="44" t="e">
        <f t="shared" si="50"/>
        <v>#REF!</v>
      </c>
      <c r="Q151" s="44" t="e">
        <f t="shared" si="50"/>
        <v>#REF!</v>
      </c>
      <c r="R151" s="44" t="e">
        <f t="shared" si="50"/>
        <v>#REF!</v>
      </c>
      <c r="S151" s="44" t="e">
        <f t="shared" si="50"/>
        <v>#REF!</v>
      </c>
      <c r="T151" s="44" t="e">
        <f t="shared" si="50"/>
        <v>#REF!</v>
      </c>
      <c r="U151" s="44" t="e">
        <f t="shared" si="50"/>
        <v>#REF!</v>
      </c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1:30" ht="18">
      <c r="A152" s="30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1:30" ht="18">
      <c r="A153" s="43" t="s">
        <v>201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1:30" ht="18">
      <c r="A154" s="30" t="s">
        <v>202</v>
      </c>
      <c r="B154" s="44">
        <v>1</v>
      </c>
      <c r="C154" s="44">
        <f>B162</f>
        <v>3</v>
      </c>
      <c r="D154" s="44">
        <v>13</v>
      </c>
      <c r="E154" s="44">
        <f>D162</f>
        <v>13</v>
      </c>
      <c r="F154" s="44">
        <f>$E162</f>
        <v>0</v>
      </c>
      <c r="G154" s="44">
        <f aca="true" t="shared" si="51" ref="G154:U154">F162</f>
        <v>0</v>
      </c>
      <c r="H154" s="44">
        <f t="shared" si="51"/>
        <v>0</v>
      </c>
      <c r="I154" s="44">
        <f t="shared" si="51"/>
        <v>0</v>
      </c>
      <c r="J154" s="44">
        <f t="shared" si="51"/>
        <v>0</v>
      </c>
      <c r="K154" s="44">
        <f t="shared" si="51"/>
        <v>0</v>
      </c>
      <c r="L154" s="44">
        <f t="shared" si="51"/>
        <v>0</v>
      </c>
      <c r="M154" s="44">
        <f t="shared" si="51"/>
        <v>0</v>
      </c>
      <c r="N154" s="44">
        <f t="shared" si="51"/>
        <v>0</v>
      </c>
      <c r="O154" s="44">
        <f t="shared" si="51"/>
        <v>0</v>
      </c>
      <c r="P154" s="44">
        <f t="shared" si="51"/>
        <v>0</v>
      </c>
      <c r="Q154" s="44">
        <f t="shared" si="51"/>
        <v>0</v>
      </c>
      <c r="R154" s="44">
        <f t="shared" si="51"/>
        <v>0</v>
      </c>
      <c r="S154" s="44">
        <f t="shared" si="51"/>
        <v>0</v>
      </c>
      <c r="T154" s="44">
        <f t="shared" si="51"/>
        <v>0</v>
      </c>
      <c r="U154" s="44">
        <f t="shared" si="51"/>
        <v>0</v>
      </c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1:30" ht="18">
      <c r="A155" s="30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1:30" ht="18">
      <c r="A156" s="30" t="s">
        <v>200</v>
      </c>
      <c r="B156" s="44">
        <f>B157+B158+B159</f>
        <v>2</v>
      </c>
      <c r="C156" s="44">
        <f>C157+C158+C159</f>
        <v>11</v>
      </c>
      <c r="D156" s="44">
        <f>D157+D158+D159</f>
        <v>7</v>
      </c>
      <c r="E156" s="44">
        <f>E157+E158+E159</f>
        <v>1</v>
      </c>
      <c r="F156" s="44">
        <f>F157+F158+F159</f>
        <v>0</v>
      </c>
      <c r="G156" s="44">
        <f aca="true" t="shared" si="52" ref="G156:U156">G157+G158</f>
        <v>0</v>
      </c>
      <c r="H156" s="44">
        <f t="shared" si="52"/>
        <v>0</v>
      </c>
      <c r="I156" s="44">
        <f t="shared" si="52"/>
        <v>0</v>
      </c>
      <c r="J156" s="44">
        <f t="shared" si="52"/>
        <v>0</v>
      </c>
      <c r="K156" s="44">
        <f t="shared" si="52"/>
        <v>0</v>
      </c>
      <c r="L156" s="44">
        <f t="shared" si="52"/>
        <v>0</v>
      </c>
      <c r="M156" s="44">
        <f t="shared" si="52"/>
        <v>0</v>
      </c>
      <c r="N156" s="44">
        <f t="shared" si="52"/>
        <v>0</v>
      </c>
      <c r="O156" s="44">
        <f t="shared" si="52"/>
        <v>0</v>
      </c>
      <c r="P156" s="44">
        <f t="shared" si="52"/>
        <v>0</v>
      </c>
      <c r="Q156" s="44">
        <f t="shared" si="52"/>
        <v>0</v>
      </c>
      <c r="R156" s="44">
        <f t="shared" si="52"/>
        <v>0</v>
      </c>
      <c r="S156" s="44">
        <f t="shared" si="52"/>
        <v>0</v>
      </c>
      <c r="T156" s="44">
        <f t="shared" si="52"/>
        <v>0</v>
      </c>
      <c r="U156" s="44">
        <f t="shared" si="52"/>
        <v>0</v>
      </c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1:30" ht="18">
      <c r="A157" s="30" t="s">
        <v>374</v>
      </c>
      <c r="B157" s="44">
        <v>0</v>
      </c>
      <c r="C157" s="44">
        <v>0</v>
      </c>
      <c r="D157" s="44">
        <v>0</v>
      </c>
      <c r="E157" s="44">
        <v>0</v>
      </c>
      <c r="F157" s="44">
        <v>0</v>
      </c>
      <c r="G157" s="44">
        <f aca="true" t="shared" si="53" ref="G157:U157">G148</f>
        <v>0</v>
      </c>
      <c r="H157" s="44">
        <f t="shared" si="53"/>
        <v>0</v>
      </c>
      <c r="I157" s="44">
        <f t="shared" si="53"/>
        <v>0</v>
      </c>
      <c r="J157" s="44">
        <f t="shared" si="53"/>
        <v>0</v>
      </c>
      <c r="K157" s="44">
        <f t="shared" si="53"/>
        <v>0</v>
      </c>
      <c r="L157" s="44">
        <f t="shared" si="53"/>
        <v>0</v>
      </c>
      <c r="M157" s="44">
        <f t="shared" si="53"/>
        <v>0</v>
      </c>
      <c r="N157" s="44">
        <f t="shared" si="53"/>
        <v>0</v>
      </c>
      <c r="O157" s="44">
        <f t="shared" si="53"/>
        <v>0</v>
      </c>
      <c r="P157" s="44">
        <f t="shared" si="53"/>
        <v>0</v>
      </c>
      <c r="Q157" s="44">
        <f t="shared" si="53"/>
        <v>0</v>
      </c>
      <c r="R157" s="44">
        <f t="shared" si="53"/>
        <v>0</v>
      </c>
      <c r="S157" s="44">
        <f t="shared" si="53"/>
        <v>0</v>
      </c>
      <c r="T157" s="44">
        <f t="shared" si="53"/>
        <v>0</v>
      </c>
      <c r="U157" s="44">
        <f t="shared" si="53"/>
        <v>0</v>
      </c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1:30" ht="18">
      <c r="A158" s="30" t="s">
        <v>196</v>
      </c>
      <c r="B158" s="44">
        <v>0</v>
      </c>
      <c r="C158" s="44">
        <v>6</v>
      </c>
      <c r="D158" s="44">
        <v>7</v>
      </c>
      <c r="E158" s="44">
        <v>1</v>
      </c>
      <c r="F158" s="44">
        <v>0</v>
      </c>
      <c r="G158" s="44">
        <f aca="true" t="shared" si="54" ref="G158:U158">G149</f>
        <v>0</v>
      </c>
      <c r="H158" s="44">
        <f t="shared" si="54"/>
        <v>0</v>
      </c>
      <c r="I158" s="44">
        <f t="shared" si="54"/>
        <v>0</v>
      </c>
      <c r="J158" s="44">
        <f t="shared" si="54"/>
        <v>0</v>
      </c>
      <c r="K158" s="44">
        <f t="shared" si="54"/>
        <v>0</v>
      </c>
      <c r="L158" s="44">
        <f t="shared" si="54"/>
        <v>0</v>
      </c>
      <c r="M158" s="44">
        <f t="shared" si="54"/>
        <v>0</v>
      </c>
      <c r="N158" s="44">
        <f t="shared" si="54"/>
        <v>0</v>
      </c>
      <c r="O158" s="44">
        <f t="shared" si="54"/>
        <v>0</v>
      </c>
      <c r="P158" s="44">
        <f t="shared" si="54"/>
        <v>0</v>
      </c>
      <c r="Q158" s="44">
        <f t="shared" si="54"/>
        <v>0</v>
      </c>
      <c r="R158" s="44">
        <f t="shared" si="54"/>
        <v>0</v>
      </c>
      <c r="S158" s="44">
        <f t="shared" si="54"/>
        <v>0</v>
      </c>
      <c r="T158" s="44">
        <f t="shared" si="54"/>
        <v>0</v>
      </c>
      <c r="U158" s="44">
        <f t="shared" si="54"/>
        <v>0</v>
      </c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1:30" ht="18">
      <c r="A159" s="30" t="s">
        <v>197</v>
      </c>
      <c r="B159" s="44">
        <v>2</v>
      </c>
      <c r="C159" s="44">
        <v>5</v>
      </c>
      <c r="D159" s="44">
        <v>0</v>
      </c>
      <c r="E159" s="44">
        <v>0</v>
      </c>
      <c r="F159" s="44">
        <v>0</v>
      </c>
      <c r="G159" s="44">
        <f aca="true" t="shared" si="55" ref="G159:U159">G150</f>
        <v>0</v>
      </c>
      <c r="H159" s="44">
        <f t="shared" si="55"/>
        <v>0</v>
      </c>
      <c r="I159" s="44">
        <f t="shared" si="55"/>
        <v>0</v>
      </c>
      <c r="J159" s="44">
        <f t="shared" si="55"/>
        <v>0</v>
      </c>
      <c r="K159" s="44">
        <f t="shared" si="55"/>
        <v>0</v>
      </c>
      <c r="L159" s="44">
        <f t="shared" si="55"/>
        <v>0</v>
      </c>
      <c r="M159" s="44">
        <f t="shared" si="55"/>
        <v>0</v>
      </c>
      <c r="N159" s="44">
        <f t="shared" si="55"/>
        <v>0</v>
      </c>
      <c r="O159" s="44">
        <f t="shared" si="55"/>
        <v>0</v>
      </c>
      <c r="P159" s="44">
        <f t="shared" si="55"/>
        <v>0</v>
      </c>
      <c r="Q159" s="44">
        <f t="shared" si="55"/>
        <v>0</v>
      </c>
      <c r="R159" s="44">
        <f t="shared" si="55"/>
        <v>0</v>
      </c>
      <c r="S159" s="44">
        <f t="shared" si="55"/>
        <v>0</v>
      </c>
      <c r="T159" s="44">
        <f t="shared" si="55"/>
        <v>0</v>
      </c>
      <c r="U159" s="44">
        <f t="shared" si="55"/>
        <v>0</v>
      </c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1:30" ht="18">
      <c r="A160" s="30" t="s">
        <v>203</v>
      </c>
      <c r="B160" s="44">
        <v>0</v>
      </c>
      <c r="C160" s="44">
        <v>0</v>
      </c>
      <c r="D160" s="44">
        <v>7</v>
      </c>
      <c r="E160" s="44">
        <v>14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1:30" ht="18">
      <c r="A161" s="30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1:30" ht="18">
      <c r="A162" s="30" t="s">
        <v>376</v>
      </c>
      <c r="B162" s="44">
        <f aca="true" t="shared" si="56" ref="B162:U162">B154+B156-B160</f>
        <v>3</v>
      </c>
      <c r="C162" s="44">
        <f t="shared" si="56"/>
        <v>14</v>
      </c>
      <c r="D162" s="44">
        <f t="shared" si="56"/>
        <v>13</v>
      </c>
      <c r="E162" s="44">
        <f t="shared" si="56"/>
        <v>0</v>
      </c>
      <c r="F162" s="44">
        <f t="shared" si="56"/>
        <v>0</v>
      </c>
      <c r="G162" s="44">
        <f t="shared" si="56"/>
        <v>0</v>
      </c>
      <c r="H162" s="44">
        <f t="shared" si="56"/>
        <v>0</v>
      </c>
      <c r="I162" s="44">
        <f t="shared" si="56"/>
        <v>0</v>
      </c>
      <c r="J162" s="44">
        <f t="shared" si="56"/>
        <v>0</v>
      </c>
      <c r="K162" s="44">
        <f t="shared" si="56"/>
        <v>0</v>
      </c>
      <c r="L162" s="44">
        <f t="shared" si="56"/>
        <v>0</v>
      </c>
      <c r="M162" s="44">
        <f t="shared" si="56"/>
        <v>0</v>
      </c>
      <c r="N162" s="44">
        <f t="shared" si="56"/>
        <v>0</v>
      </c>
      <c r="O162" s="44">
        <f t="shared" si="56"/>
        <v>0</v>
      </c>
      <c r="P162" s="44">
        <f t="shared" si="56"/>
        <v>0</v>
      </c>
      <c r="Q162" s="44">
        <f t="shared" si="56"/>
        <v>0</v>
      </c>
      <c r="R162" s="44">
        <f t="shared" si="56"/>
        <v>0</v>
      </c>
      <c r="S162" s="44">
        <f t="shared" si="56"/>
        <v>0</v>
      </c>
      <c r="T162" s="44">
        <f t="shared" si="56"/>
        <v>0</v>
      </c>
      <c r="U162" s="44">
        <f t="shared" si="56"/>
        <v>0</v>
      </c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1:30" ht="18">
      <c r="A163" s="30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1:30" ht="18">
      <c r="A164" s="43" t="s">
        <v>377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ht="18">
      <c r="A165" s="43" t="s">
        <v>204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1:30" ht="18">
      <c r="A166" s="30" t="s">
        <v>188</v>
      </c>
      <c r="B166" s="44">
        <v>1594881</v>
      </c>
      <c r="C166" s="44">
        <v>2175825</v>
      </c>
      <c r="D166" s="44">
        <v>1958749</v>
      </c>
      <c r="E166" s="44">
        <v>1119817</v>
      </c>
      <c r="F166" s="44">
        <v>905992</v>
      </c>
      <c r="G166" s="44">
        <f>(G132*4.8*G49)+(G131*4.8*F49)</f>
        <v>849844.786910592</v>
      </c>
      <c r="H166" s="44" t="e">
        <f aca="true" t="shared" si="57" ref="H166:U166">(H132*4.8*H49)+(H133*4.8*G49)</f>
        <v>#REF!</v>
      </c>
      <c r="I166" s="44" t="e">
        <f t="shared" si="57"/>
        <v>#REF!</v>
      </c>
      <c r="J166" s="44">
        <f t="shared" si="57"/>
        <v>2237710.464</v>
      </c>
      <c r="K166" s="44">
        <f t="shared" si="57"/>
        <v>2068118.976</v>
      </c>
      <c r="L166" s="44">
        <f t="shared" si="57"/>
        <v>1367198.9760000003</v>
      </c>
      <c r="M166" s="44" t="e">
        <f t="shared" si="57"/>
        <v>#REF!</v>
      </c>
      <c r="N166" s="44" t="e">
        <f t="shared" si="57"/>
        <v>#REF!</v>
      </c>
      <c r="O166" s="44" t="e">
        <f t="shared" si="57"/>
        <v>#REF!</v>
      </c>
      <c r="P166" s="44" t="e">
        <f t="shared" si="57"/>
        <v>#REF!</v>
      </c>
      <c r="Q166" s="44" t="e">
        <f t="shared" si="57"/>
        <v>#REF!</v>
      </c>
      <c r="R166" s="44" t="e">
        <f t="shared" si="57"/>
        <v>#REF!</v>
      </c>
      <c r="S166" s="44" t="e">
        <f t="shared" si="57"/>
        <v>#REF!</v>
      </c>
      <c r="T166" s="44">
        <f t="shared" si="57"/>
        <v>1075027.2</v>
      </c>
      <c r="U166" s="44">
        <f t="shared" si="57"/>
        <v>1083888</v>
      </c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1:30" ht="18">
      <c r="A167" s="30" t="s">
        <v>205</v>
      </c>
      <c r="B167" s="44">
        <v>6907</v>
      </c>
      <c r="C167" s="44">
        <v>14393</v>
      </c>
      <c r="D167" s="44">
        <v>18690</v>
      </c>
      <c r="E167" s="44">
        <v>6228</v>
      </c>
      <c r="F167" s="44">
        <v>1571</v>
      </c>
      <c r="G167" s="44">
        <f aca="true" t="shared" si="58" ref="G167:U167">ROUND((G139+G140)*4.8*(IF(G51&lt;G49,IF(G51&lt;F49,G51,F49),F49)),-2)</f>
        <v>21900</v>
      </c>
      <c r="H167" s="44">
        <f t="shared" si="58"/>
        <v>14600</v>
      </c>
      <c r="I167" s="44">
        <f t="shared" si="58"/>
        <v>0</v>
      </c>
      <c r="J167" s="44" t="e">
        <f t="shared" si="58"/>
        <v>#REF!</v>
      </c>
      <c r="K167" s="44">
        <f t="shared" si="58"/>
        <v>0</v>
      </c>
      <c r="L167" s="44">
        <f t="shared" si="58"/>
        <v>0</v>
      </c>
      <c r="M167" s="44">
        <f t="shared" si="58"/>
        <v>0</v>
      </c>
      <c r="N167" s="44">
        <f t="shared" si="58"/>
        <v>0</v>
      </c>
      <c r="O167" s="44" t="e">
        <f t="shared" si="58"/>
        <v>#REF!</v>
      </c>
      <c r="P167" s="44" t="e">
        <f t="shared" si="58"/>
        <v>#REF!</v>
      </c>
      <c r="Q167" s="44" t="e">
        <f t="shared" si="58"/>
        <v>#REF!</v>
      </c>
      <c r="R167" s="44" t="e">
        <f t="shared" si="58"/>
        <v>#REF!</v>
      </c>
      <c r="S167" s="44" t="e">
        <f t="shared" si="58"/>
        <v>#REF!</v>
      </c>
      <c r="T167" s="44" t="e">
        <f t="shared" si="58"/>
        <v>#REF!</v>
      </c>
      <c r="U167" s="44" t="e">
        <f t="shared" si="58"/>
        <v>#REF!</v>
      </c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1:30" ht="18">
      <c r="A168" s="30" t="s">
        <v>206</v>
      </c>
      <c r="B168" s="44">
        <v>1173242</v>
      </c>
      <c r="C168" s="44">
        <v>1544515</v>
      </c>
      <c r="D168" s="44">
        <v>1690168</v>
      </c>
      <c r="E168" s="44">
        <v>1124290</v>
      </c>
      <c r="F168" s="44">
        <v>858996</v>
      </c>
      <c r="G168" s="44">
        <f aca="true" t="shared" si="59" ref="G168:U168">(G141*4.8*G51)</f>
        <v>811447.296</v>
      </c>
      <c r="H168" s="44">
        <f t="shared" si="59"/>
        <v>1060112.592</v>
      </c>
      <c r="I168" s="44" t="e">
        <f t="shared" si="59"/>
        <v>#REF!</v>
      </c>
      <c r="J168" s="44">
        <f t="shared" si="59"/>
        <v>1381437.72</v>
      </c>
      <c r="K168" s="44">
        <f t="shared" si="59"/>
        <v>1790930.232</v>
      </c>
      <c r="L168" s="44">
        <f t="shared" si="59"/>
        <v>653439.9299999999</v>
      </c>
      <c r="M168" s="44">
        <f t="shared" si="59"/>
        <v>995868.4319999999</v>
      </c>
      <c r="N168" s="44" t="e">
        <f t="shared" si="59"/>
        <v>#REF!</v>
      </c>
      <c r="O168" s="44" t="e">
        <f t="shared" si="59"/>
        <v>#REF!</v>
      </c>
      <c r="P168" s="44" t="e">
        <f t="shared" si="59"/>
        <v>#REF!</v>
      </c>
      <c r="Q168" s="44" t="e">
        <f t="shared" si="59"/>
        <v>#REF!</v>
      </c>
      <c r="R168" s="44" t="e">
        <f t="shared" si="59"/>
        <v>#REF!</v>
      </c>
      <c r="S168" s="44" t="e">
        <f t="shared" si="59"/>
        <v>#REF!</v>
      </c>
      <c r="T168" s="44" t="e">
        <f t="shared" si="59"/>
        <v>#REF!</v>
      </c>
      <c r="U168" s="44" t="e">
        <f t="shared" si="59"/>
        <v>#REF!</v>
      </c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1:30" ht="18">
      <c r="A169" s="30" t="s">
        <v>207</v>
      </c>
      <c r="B169" s="44">
        <f aca="true" t="shared" si="60" ref="B169:U169">B167+B168</f>
        <v>1180149</v>
      </c>
      <c r="C169" s="44">
        <f t="shared" si="60"/>
        <v>1558908</v>
      </c>
      <c r="D169" s="44">
        <f t="shared" si="60"/>
        <v>1708858</v>
      </c>
      <c r="E169" s="44">
        <f t="shared" si="60"/>
        <v>1130518</v>
      </c>
      <c r="F169" s="44">
        <f t="shared" si="60"/>
        <v>860567</v>
      </c>
      <c r="G169" s="44">
        <f t="shared" si="60"/>
        <v>833347.296</v>
      </c>
      <c r="H169" s="44">
        <f t="shared" si="60"/>
        <v>1074712.592</v>
      </c>
      <c r="I169" s="44" t="e">
        <f t="shared" si="60"/>
        <v>#REF!</v>
      </c>
      <c r="J169" s="44" t="e">
        <f t="shared" si="60"/>
        <v>#REF!</v>
      </c>
      <c r="K169" s="44">
        <f t="shared" si="60"/>
        <v>1790930.232</v>
      </c>
      <c r="L169" s="44">
        <f t="shared" si="60"/>
        <v>653439.9299999999</v>
      </c>
      <c r="M169" s="44">
        <f t="shared" si="60"/>
        <v>995868.4319999999</v>
      </c>
      <c r="N169" s="44" t="e">
        <f t="shared" si="60"/>
        <v>#REF!</v>
      </c>
      <c r="O169" s="44" t="e">
        <f t="shared" si="60"/>
        <v>#REF!</v>
      </c>
      <c r="P169" s="44" t="e">
        <f t="shared" si="60"/>
        <v>#REF!</v>
      </c>
      <c r="Q169" s="44" t="e">
        <f t="shared" si="60"/>
        <v>#REF!</v>
      </c>
      <c r="R169" s="44" t="e">
        <f t="shared" si="60"/>
        <v>#REF!</v>
      </c>
      <c r="S169" s="44" t="e">
        <f t="shared" si="60"/>
        <v>#REF!</v>
      </c>
      <c r="T169" s="44" t="e">
        <f t="shared" si="60"/>
        <v>#REF!</v>
      </c>
      <c r="U169" s="44" t="e">
        <f t="shared" si="60"/>
        <v>#REF!</v>
      </c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1:30" ht="18">
      <c r="A170" s="30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1:30" ht="18">
      <c r="A171" s="43" t="s">
        <v>208</v>
      </c>
      <c r="B171" s="44">
        <f aca="true" t="shared" si="61" ref="B171:U171">B166-B169</f>
        <v>414732</v>
      </c>
      <c r="C171" s="44">
        <f t="shared" si="61"/>
        <v>616917</v>
      </c>
      <c r="D171" s="44">
        <f t="shared" si="61"/>
        <v>249891</v>
      </c>
      <c r="E171" s="44">
        <f t="shared" si="61"/>
        <v>-10701</v>
      </c>
      <c r="F171" s="44">
        <f t="shared" si="61"/>
        <v>45425</v>
      </c>
      <c r="G171" s="44">
        <f t="shared" si="61"/>
        <v>16497.490910592023</v>
      </c>
      <c r="H171" s="44" t="e">
        <f t="shared" si="61"/>
        <v>#REF!</v>
      </c>
      <c r="I171" s="44" t="e">
        <f t="shared" si="61"/>
        <v>#REF!</v>
      </c>
      <c r="J171" s="44" t="e">
        <f t="shared" si="61"/>
        <v>#REF!</v>
      </c>
      <c r="K171" s="44">
        <f t="shared" si="61"/>
        <v>277188.74399999995</v>
      </c>
      <c r="L171" s="44">
        <f t="shared" si="61"/>
        <v>713759.0460000003</v>
      </c>
      <c r="M171" s="44" t="e">
        <f t="shared" si="61"/>
        <v>#REF!</v>
      </c>
      <c r="N171" s="44" t="e">
        <f t="shared" si="61"/>
        <v>#REF!</v>
      </c>
      <c r="O171" s="44" t="e">
        <f t="shared" si="61"/>
        <v>#REF!</v>
      </c>
      <c r="P171" s="44" t="e">
        <f t="shared" si="61"/>
        <v>#REF!</v>
      </c>
      <c r="Q171" s="44" t="e">
        <f t="shared" si="61"/>
        <v>#REF!</v>
      </c>
      <c r="R171" s="44" t="e">
        <f t="shared" si="61"/>
        <v>#REF!</v>
      </c>
      <c r="S171" s="44" t="e">
        <f t="shared" si="61"/>
        <v>#REF!</v>
      </c>
      <c r="T171" s="44" t="e">
        <f t="shared" si="61"/>
        <v>#REF!</v>
      </c>
      <c r="U171" s="44" t="e">
        <f t="shared" si="61"/>
        <v>#REF!</v>
      </c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1:30" ht="18">
      <c r="A172" s="30" t="s">
        <v>209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1:30" ht="18">
      <c r="A173" s="30" t="s">
        <v>210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1:30" ht="18">
      <c r="A174" s="30" t="s">
        <v>211</v>
      </c>
      <c r="B174" s="44">
        <f aca="true" t="shared" si="62" ref="B174:U174">B141</f>
        <v>6028</v>
      </c>
      <c r="C174" s="44">
        <f t="shared" si="62"/>
        <v>7738</v>
      </c>
      <c r="D174" s="44">
        <f t="shared" si="62"/>
        <v>7425</v>
      </c>
      <c r="E174" s="44">
        <f t="shared" si="62"/>
        <v>4614</v>
      </c>
      <c r="F174" s="44">
        <f t="shared" si="62"/>
        <v>3387</v>
      </c>
      <c r="G174" s="44">
        <f t="shared" si="62"/>
        <v>3256</v>
      </c>
      <c r="H174" s="44">
        <f t="shared" si="62"/>
        <v>4281</v>
      </c>
      <c r="I174" s="44" t="e">
        <f t="shared" si="62"/>
        <v>#REF!</v>
      </c>
      <c r="J174" s="44">
        <f t="shared" si="62"/>
        <v>8921.25</v>
      </c>
      <c r="K174" s="44">
        <f t="shared" si="62"/>
        <v>8326.5</v>
      </c>
      <c r="L174" s="44">
        <f t="shared" si="62"/>
        <v>5451.875</v>
      </c>
      <c r="M174" s="44">
        <f t="shared" si="62"/>
        <v>5055.375</v>
      </c>
      <c r="N174" s="44" t="e">
        <f t="shared" si="62"/>
        <v>#REF!</v>
      </c>
      <c r="O174" s="44" t="e">
        <f t="shared" si="62"/>
        <v>#REF!</v>
      </c>
      <c r="P174" s="44" t="e">
        <f t="shared" si="62"/>
        <v>#REF!</v>
      </c>
      <c r="Q174" s="44" t="e">
        <f t="shared" si="62"/>
        <v>#REF!</v>
      </c>
      <c r="R174" s="44" t="e">
        <f t="shared" si="62"/>
        <v>#REF!</v>
      </c>
      <c r="S174" s="44" t="e">
        <f t="shared" si="62"/>
        <v>#REF!</v>
      </c>
      <c r="T174" s="44">
        <f t="shared" si="62"/>
        <v>4262.375</v>
      </c>
      <c r="U174" s="44">
        <f t="shared" si="62"/>
        <v>4460.625</v>
      </c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1:30" ht="18">
      <c r="A175" s="30" t="s">
        <v>212</v>
      </c>
      <c r="B175" s="44">
        <f aca="true" t="shared" si="63" ref="B175:U175">B140+B138</f>
        <v>34</v>
      </c>
      <c r="C175" s="44">
        <f t="shared" si="63"/>
        <v>84</v>
      </c>
      <c r="D175" s="44">
        <f t="shared" si="63"/>
        <v>72</v>
      </c>
      <c r="E175" s="44">
        <f t="shared" si="63"/>
        <v>24</v>
      </c>
      <c r="F175" s="44">
        <f t="shared" si="63"/>
        <v>16</v>
      </c>
      <c r="G175" s="44">
        <f t="shared" si="63"/>
        <v>88</v>
      </c>
      <c r="H175" s="44">
        <f t="shared" si="63"/>
        <v>59</v>
      </c>
      <c r="I175" s="44">
        <f t="shared" si="63"/>
        <v>0</v>
      </c>
      <c r="J175" s="44" t="e">
        <f t="shared" si="63"/>
        <v>#REF!</v>
      </c>
      <c r="K175" s="44">
        <f t="shared" si="63"/>
        <v>0</v>
      </c>
      <c r="L175" s="44">
        <f t="shared" si="63"/>
        <v>0</v>
      </c>
      <c r="M175" s="44">
        <f t="shared" si="63"/>
        <v>0</v>
      </c>
      <c r="N175" s="44">
        <f t="shared" si="63"/>
        <v>0</v>
      </c>
      <c r="O175" s="44" t="e">
        <f t="shared" si="63"/>
        <v>#REF!</v>
      </c>
      <c r="P175" s="44" t="e">
        <f t="shared" si="63"/>
        <v>#REF!</v>
      </c>
      <c r="Q175" s="44" t="e">
        <f t="shared" si="63"/>
        <v>#REF!</v>
      </c>
      <c r="R175" s="44" t="e">
        <f t="shared" si="63"/>
        <v>#REF!</v>
      </c>
      <c r="S175" s="44" t="e">
        <f t="shared" si="63"/>
        <v>#REF!</v>
      </c>
      <c r="T175" s="44" t="e">
        <f t="shared" si="63"/>
        <v>#REF!</v>
      </c>
      <c r="U175" s="44">
        <f t="shared" si="63"/>
        <v>0</v>
      </c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1:30" ht="18">
      <c r="A176" s="30" t="s">
        <v>213</v>
      </c>
      <c r="B176" s="44">
        <v>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</row>
    <row r="177" spans="1:30" ht="18">
      <c r="A177" s="30" t="s">
        <v>214</v>
      </c>
      <c r="B177" s="44">
        <v>0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</row>
    <row r="178" spans="1:30" ht="18">
      <c r="A178" s="30" t="s">
        <v>215</v>
      </c>
      <c r="B178" s="44">
        <f aca="true" t="shared" si="64" ref="B178:U178">B147</f>
        <v>2</v>
      </c>
      <c r="C178" s="44">
        <f t="shared" si="64"/>
        <v>11</v>
      </c>
      <c r="D178" s="44">
        <f t="shared" si="64"/>
        <v>7</v>
      </c>
      <c r="E178" s="44">
        <f t="shared" si="64"/>
        <v>1</v>
      </c>
      <c r="F178" s="44">
        <f t="shared" si="64"/>
        <v>0</v>
      </c>
      <c r="G178" s="44">
        <f t="shared" si="64"/>
        <v>0</v>
      </c>
      <c r="H178" s="44">
        <f t="shared" si="64"/>
        <v>0</v>
      </c>
      <c r="I178" s="44">
        <f t="shared" si="64"/>
        <v>0</v>
      </c>
      <c r="J178" s="44">
        <f t="shared" si="64"/>
        <v>0</v>
      </c>
      <c r="K178" s="44">
        <f t="shared" si="64"/>
        <v>0</v>
      </c>
      <c r="L178" s="44">
        <f t="shared" si="64"/>
        <v>0</v>
      </c>
      <c r="M178" s="44">
        <f t="shared" si="64"/>
        <v>0</v>
      </c>
      <c r="N178" s="44">
        <f t="shared" si="64"/>
        <v>0</v>
      </c>
      <c r="O178" s="44">
        <f t="shared" si="64"/>
        <v>0</v>
      </c>
      <c r="P178" s="44">
        <f t="shared" si="64"/>
        <v>0</v>
      </c>
      <c r="Q178" s="44">
        <f t="shared" si="64"/>
        <v>0</v>
      </c>
      <c r="R178" s="44">
        <f t="shared" si="64"/>
        <v>0</v>
      </c>
      <c r="S178" s="44">
        <f t="shared" si="64"/>
        <v>0</v>
      </c>
      <c r="T178" s="44">
        <f t="shared" si="64"/>
        <v>0</v>
      </c>
      <c r="U178" s="44">
        <f t="shared" si="64"/>
        <v>0</v>
      </c>
      <c r="V178" s="30"/>
      <c r="W178" s="30"/>
      <c r="X178" s="30"/>
      <c r="Y178" s="30"/>
      <c r="Z178" s="30"/>
      <c r="AA178" s="30"/>
      <c r="AB178" s="30"/>
      <c r="AC178" s="30"/>
      <c r="AD178" s="30"/>
    </row>
    <row r="179" spans="1:30" ht="18">
      <c r="A179" s="30" t="s">
        <v>216</v>
      </c>
      <c r="B179" s="44">
        <v>3189</v>
      </c>
      <c r="C179" s="44">
        <f>B174+C175+B176+C177+C178</f>
        <v>6123</v>
      </c>
      <c r="D179" s="44">
        <f>C174+D175+C176+D177+D178</f>
        <v>7817</v>
      </c>
      <c r="E179" s="44">
        <f>D174+E175+D176+E177+E178</f>
        <v>7450</v>
      </c>
      <c r="F179" s="44">
        <f>$E174+F175+$E176+F177+F178</f>
        <v>4630</v>
      </c>
      <c r="G179" s="44">
        <f aca="true" t="shared" si="65" ref="G179:U179">F174+G175+F176+G177+G178</f>
        <v>3475</v>
      </c>
      <c r="H179" s="44">
        <f t="shared" si="65"/>
        <v>3315</v>
      </c>
      <c r="I179" s="44">
        <f t="shared" si="65"/>
        <v>4281</v>
      </c>
      <c r="J179" s="44" t="e">
        <f t="shared" si="65"/>
        <v>#REF!</v>
      </c>
      <c r="K179" s="44">
        <f t="shared" si="65"/>
        <v>8921.25</v>
      </c>
      <c r="L179" s="44">
        <f t="shared" si="65"/>
        <v>8326.5</v>
      </c>
      <c r="M179" s="44">
        <f t="shared" si="65"/>
        <v>5451.875</v>
      </c>
      <c r="N179" s="44">
        <f t="shared" si="65"/>
        <v>5055.375</v>
      </c>
      <c r="O179" s="44" t="e">
        <f t="shared" si="65"/>
        <v>#REF!</v>
      </c>
      <c r="P179" s="44" t="e">
        <f t="shared" si="65"/>
        <v>#REF!</v>
      </c>
      <c r="Q179" s="44" t="e">
        <f t="shared" si="65"/>
        <v>#REF!</v>
      </c>
      <c r="R179" s="44" t="e">
        <f t="shared" si="65"/>
        <v>#REF!</v>
      </c>
      <c r="S179" s="44" t="e">
        <f t="shared" si="65"/>
        <v>#REF!</v>
      </c>
      <c r="T179" s="44" t="e">
        <f t="shared" si="65"/>
        <v>#REF!</v>
      </c>
      <c r="U179" s="44">
        <f t="shared" si="65"/>
        <v>4262.375</v>
      </c>
      <c r="V179" s="30"/>
      <c r="W179" s="30"/>
      <c r="X179" s="30"/>
      <c r="Y179" s="30"/>
      <c r="Z179" s="30"/>
      <c r="AA179" s="30"/>
      <c r="AB179" s="30"/>
      <c r="AC179" s="30"/>
      <c r="AD179" s="30"/>
    </row>
    <row r="180" spans="1:30" ht="18">
      <c r="A180" s="30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30"/>
      <c r="W180" s="30"/>
      <c r="X180" s="30"/>
      <c r="Y180" s="30"/>
      <c r="Z180" s="30"/>
      <c r="AA180" s="30"/>
      <c r="AB180" s="30"/>
      <c r="AC180" s="30"/>
      <c r="AD180" s="30"/>
    </row>
    <row r="181" spans="1:30" ht="18">
      <c r="A181" s="43" t="s">
        <v>217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</row>
    <row r="182" spans="1:30" ht="18">
      <c r="A182" s="30" t="s">
        <v>218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</row>
    <row r="183" spans="1:30" ht="18">
      <c r="A183" s="30" t="s">
        <v>219</v>
      </c>
      <c r="B183" s="54" t="e">
        <f>'Hist S and D'!#REF!+0.04</f>
        <v>#REF!</v>
      </c>
      <c r="C183" s="54" t="e">
        <f>B183+0.04</f>
        <v>#REF!</v>
      </c>
      <c r="D183" s="54">
        <v>2.1</v>
      </c>
      <c r="E183" s="54">
        <v>2.5</v>
      </c>
      <c r="F183" s="54">
        <v>2.75</v>
      </c>
      <c r="G183" s="54">
        <v>2.85</v>
      </c>
      <c r="H183" s="54">
        <v>2.95</v>
      </c>
      <c r="I183" s="54">
        <v>3.05</v>
      </c>
      <c r="J183" s="54">
        <v>3.15</v>
      </c>
      <c r="K183" s="54">
        <v>3.15</v>
      </c>
      <c r="L183" s="54">
        <v>3.15</v>
      </c>
      <c r="M183" s="54">
        <v>3.15</v>
      </c>
      <c r="N183" s="54">
        <v>3.15</v>
      </c>
      <c r="O183" s="54">
        <v>3.15</v>
      </c>
      <c r="P183" s="54">
        <v>3.15</v>
      </c>
      <c r="Q183" s="54">
        <v>3.15</v>
      </c>
      <c r="R183" s="54">
        <v>3.15</v>
      </c>
      <c r="S183" s="54">
        <v>3.15</v>
      </c>
      <c r="T183" s="54">
        <v>3.15</v>
      </c>
      <c r="U183" s="54">
        <v>3.15</v>
      </c>
      <c r="V183" s="30"/>
      <c r="W183" s="30"/>
      <c r="X183" s="30"/>
      <c r="Y183" s="30"/>
      <c r="Z183" s="30"/>
      <c r="AA183" s="30"/>
      <c r="AB183" s="30"/>
      <c r="AC183" s="30"/>
      <c r="AD183" s="30"/>
    </row>
    <row r="184" spans="1:30" ht="18">
      <c r="A184" s="30" t="s">
        <v>220</v>
      </c>
      <c r="B184" s="54" t="e">
        <f>'Hist S and D'!#REF!+0.04</f>
        <v>#REF!</v>
      </c>
      <c r="C184" s="54" t="e">
        <f>B184+0.04</f>
        <v>#REF!</v>
      </c>
      <c r="D184" s="54">
        <v>1.86</v>
      </c>
      <c r="E184" s="54">
        <f>D184+0.04</f>
        <v>1.9000000000000001</v>
      </c>
      <c r="F184" s="54">
        <f>$E184+0.04</f>
        <v>1.9400000000000002</v>
      </c>
      <c r="G184" s="54">
        <f aca="true" t="shared" si="66" ref="G184:U184">F184+0.04</f>
        <v>1.9800000000000002</v>
      </c>
      <c r="H184" s="54">
        <f t="shared" si="66"/>
        <v>2.02</v>
      </c>
      <c r="I184" s="54">
        <f t="shared" si="66"/>
        <v>2.06</v>
      </c>
      <c r="J184" s="54">
        <f t="shared" si="66"/>
        <v>2.1</v>
      </c>
      <c r="K184" s="54">
        <f t="shared" si="66"/>
        <v>2.14</v>
      </c>
      <c r="L184" s="54">
        <f t="shared" si="66"/>
        <v>2.18</v>
      </c>
      <c r="M184" s="54">
        <f t="shared" si="66"/>
        <v>2.22</v>
      </c>
      <c r="N184" s="54">
        <f t="shared" si="66"/>
        <v>2.2600000000000002</v>
      </c>
      <c r="O184" s="54">
        <f t="shared" si="66"/>
        <v>2.3000000000000003</v>
      </c>
      <c r="P184" s="54">
        <f t="shared" si="66"/>
        <v>2.3400000000000003</v>
      </c>
      <c r="Q184" s="54">
        <f t="shared" si="66"/>
        <v>2.3800000000000003</v>
      </c>
      <c r="R184" s="54">
        <f t="shared" si="66"/>
        <v>2.4200000000000004</v>
      </c>
      <c r="S184" s="54">
        <f t="shared" si="66"/>
        <v>2.4600000000000004</v>
      </c>
      <c r="T184" s="54">
        <f t="shared" si="66"/>
        <v>2.5000000000000004</v>
      </c>
      <c r="U184" s="54">
        <f t="shared" si="66"/>
        <v>2.5400000000000005</v>
      </c>
      <c r="V184" s="30"/>
      <c r="W184" s="30"/>
      <c r="X184" s="30"/>
      <c r="Y184" s="30"/>
      <c r="Z184" s="30"/>
      <c r="AA184" s="30"/>
      <c r="AB184" s="30"/>
      <c r="AC184" s="30"/>
      <c r="AD184" s="30"/>
    </row>
    <row r="185" spans="1:30" ht="18">
      <c r="A185" s="30" t="s">
        <v>221</v>
      </c>
      <c r="B185" s="53">
        <v>5</v>
      </c>
      <c r="C185" s="53">
        <v>3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30"/>
      <c r="W185" s="30"/>
      <c r="X185" s="30"/>
      <c r="Y185" s="30"/>
      <c r="Z185" s="30"/>
      <c r="AA185" s="30"/>
      <c r="AB185" s="30"/>
      <c r="AC185" s="30"/>
      <c r="AD185" s="30"/>
    </row>
    <row r="186" spans="1:30" ht="18">
      <c r="A186" s="30" t="s">
        <v>222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</row>
    <row r="187" spans="1:30" ht="18">
      <c r="A187" s="30" t="s">
        <v>223</v>
      </c>
      <c r="B187" s="44">
        <v>0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30"/>
      <c r="W187" s="30"/>
      <c r="X187" s="30"/>
      <c r="Y187" s="30"/>
      <c r="Z187" s="30"/>
      <c r="AA187" s="30"/>
      <c r="AB187" s="30"/>
      <c r="AC187" s="30"/>
      <c r="AD187" s="30"/>
    </row>
    <row r="188" spans="1:30" ht="18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</row>
    <row r="189" spans="1:30" ht="18">
      <c r="A189" s="30" t="s">
        <v>224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</row>
    <row r="190" spans="1:30" ht="18">
      <c r="A190" s="30" t="s">
        <v>225</v>
      </c>
      <c r="B190" s="54" t="e">
        <f>ROUND(('Hist S and D'!$P$50*0.95*('Hist S and D'!#REF!/100/12*10))+('Hist S and D'!#REF!*100/480*10),2)</f>
        <v>#REF!</v>
      </c>
      <c r="C190" s="54" t="e">
        <f>ROUND((B49*0.95*(B185/100/12*10))+(B184*100/480*10),2)</f>
        <v>#REF!</v>
      </c>
      <c r="D190" s="54" t="e">
        <f>ROUND((C49*0.95*(C185/100/12*10))+(C184*100/480*10),2)</f>
        <v>#REF!</v>
      </c>
      <c r="E190" s="54">
        <f>ROUND((D49*0.95*(D185/100/12*10))+(D184*100/480*10),2)</f>
        <v>3.88</v>
      </c>
      <c r="F190" s="54">
        <f>ROUND(($E49*0.95*($E185/100/12*10))+($E184*100/480*10),2)</f>
        <v>3.96</v>
      </c>
      <c r="G190" s="54">
        <f aca="true" t="shared" si="67" ref="G190:U190">ROUND((F49*0.95*(F185/100/12*9))+(F183*100/480*9),2)</f>
        <v>5.16</v>
      </c>
      <c r="H190" s="54">
        <f t="shared" si="67"/>
        <v>5.34</v>
      </c>
      <c r="I190" s="54">
        <f t="shared" si="67"/>
        <v>5.53</v>
      </c>
      <c r="J190" s="54">
        <f t="shared" si="67"/>
        <v>5.72</v>
      </c>
      <c r="K190" s="54">
        <f t="shared" si="67"/>
        <v>5.91</v>
      </c>
      <c r="L190" s="54">
        <f t="shared" si="67"/>
        <v>5.91</v>
      </c>
      <c r="M190" s="54">
        <f t="shared" si="67"/>
        <v>5.91</v>
      </c>
      <c r="N190" s="54">
        <f t="shared" si="67"/>
        <v>5.91</v>
      </c>
      <c r="O190" s="54">
        <f t="shared" si="67"/>
        <v>5.91</v>
      </c>
      <c r="P190" s="54">
        <f t="shared" si="67"/>
        <v>5.91</v>
      </c>
      <c r="Q190" s="54">
        <f t="shared" si="67"/>
        <v>5.91</v>
      </c>
      <c r="R190" s="54">
        <f t="shared" si="67"/>
        <v>5.91</v>
      </c>
      <c r="S190" s="54">
        <f t="shared" si="67"/>
        <v>5.91</v>
      </c>
      <c r="T190" s="54">
        <f t="shared" si="67"/>
        <v>5.91</v>
      </c>
      <c r="U190" s="54">
        <f t="shared" si="67"/>
        <v>5.91</v>
      </c>
      <c r="V190" s="30"/>
      <c r="W190" s="30"/>
      <c r="X190" s="30"/>
      <c r="Y190" s="30"/>
      <c r="Z190" s="30"/>
      <c r="AA190" s="30"/>
      <c r="AB190" s="30"/>
      <c r="AC190" s="30"/>
      <c r="AD190" s="30"/>
    </row>
    <row r="191" spans="1:30" ht="18">
      <c r="A191" s="30" t="s">
        <v>226</v>
      </c>
      <c r="B191" s="54" t="e">
        <f>ROUND(IF(#REF!&lt;='Hist S and D'!$P$50,1,(IF(#REF!&gt;('Hist S and D'!$P$50+B190),0,('Hist S and D'!$P$50+B190-#REF!)/B190))),2)</f>
        <v>#REF!</v>
      </c>
      <c r="C191" s="54" t="e">
        <f>ROUND(IF(#REF!&lt;=B49,1,(IF(#REF!&gt;(B49+C190),0,(B49+C190-#REF!)/C190))),2)</f>
        <v>#REF!</v>
      </c>
      <c r="D191" s="54" t="e">
        <f>ROUND(IF(#REF!&lt;=C49,1,(IF(#REF!&gt;(C49+D190),0,(C49+D190-#REF!)/D190))),2)</f>
        <v>#REF!</v>
      </c>
      <c r="E191" s="54" t="e">
        <f>ROUND(IF(#REF!&lt;=D49,1,(IF(#REF!&gt;(D49+E190),0,(D49+E190-#REF!)/E190))),2)</f>
        <v>#REF!</v>
      </c>
      <c r="F191" s="54" t="e">
        <f>ROUND(IF(#REF!&lt;=$E49,1,(IF(#REF!&gt;($E49+F190),0,($E49+F190-#REF!)/F190))),2)</f>
        <v>#REF!</v>
      </c>
      <c r="G191" s="54" t="e">
        <f>ROUND(IF(#REF!&lt;=F49,1,(IF(#REF!&gt;(F49+G190),0,(F49+G190-#REF!)/G190))),2)</f>
        <v>#REF!</v>
      </c>
      <c r="H191" s="54" t="e">
        <f>ROUND(IF(#REF!&lt;=G49,1,(IF(#REF!&gt;(G49+H190),0,(G49+H190-#REF!)/H190))),2)</f>
        <v>#REF!</v>
      </c>
      <c r="I191" s="54" t="e">
        <f>ROUND(IF(#REF!&lt;=H49,1,(IF(#REF!&gt;(H49+I190),0,(H49+I190-#REF!)/I190))),2)</f>
        <v>#REF!</v>
      </c>
      <c r="J191" s="54" t="e">
        <f>ROUND(IF(#REF!&lt;=I49,1,(IF(#REF!&gt;(I49+J190),0,(I49+J190-#REF!)/J190))),2)</f>
        <v>#REF!</v>
      </c>
      <c r="K191" s="54" t="e">
        <f>ROUND(IF(#REF!&lt;=J49,1,(IF(#REF!&gt;(J49+K190),0,(J49+K190-#REF!)/K190))),2)</f>
        <v>#REF!</v>
      </c>
      <c r="L191" s="54" t="e">
        <f>ROUND(IF(#REF!&lt;=K49,1,(IF(#REF!&gt;(K49+L190),0,(K49+L190-#REF!)/L190))),2)</f>
        <v>#REF!</v>
      </c>
      <c r="M191" s="54" t="e">
        <f>ROUND(IF(#REF!&lt;=L49,1,(IF(#REF!&gt;(L49+M190),0,(L49+M190-#REF!)/M190))),2)</f>
        <v>#REF!</v>
      </c>
      <c r="N191" s="54" t="e">
        <f>ROUND(IF(#REF!&lt;=M49,1,(IF(#REF!&gt;(M49+N190),0,(M49+N190-#REF!)/N190))),2)</f>
        <v>#REF!</v>
      </c>
      <c r="O191" s="54" t="e">
        <f>ROUND(IF(#REF!&lt;=N49,1,(IF(#REF!&gt;(N49+O190),0,(N49+O190-#REF!)/O190))),2)</f>
        <v>#REF!</v>
      </c>
      <c r="P191" s="54" t="e">
        <f>ROUND(IF(#REF!&lt;=O49,1,(IF(#REF!&gt;(O49+P190),0,(O49+P190-#REF!)/P190))),2)</f>
        <v>#REF!</v>
      </c>
      <c r="Q191" s="54" t="e">
        <f>ROUND(IF(#REF!&lt;=P49,1,(IF(#REF!&gt;(P49+Q190),0,(P49+Q190-#REF!)/Q190))),2)</f>
        <v>#REF!</v>
      </c>
      <c r="R191" s="54" t="e">
        <f>ROUND(IF(#REF!&lt;=Q49,1,(IF(#REF!&gt;(Q49+R190),0,(Q49+R190-#REF!)/R190))),2)</f>
        <v>#REF!</v>
      </c>
      <c r="S191" s="54" t="e">
        <f>ROUND(IF(#REF!&lt;=R49,1,(IF(#REF!&gt;(R49+S190),0,(R49+S190-#REF!)/S190))),2)</f>
        <v>#REF!</v>
      </c>
      <c r="T191" s="54" t="e">
        <f>ROUND(IF(#REF!&lt;=S49,1,(IF(#REF!&gt;(S49+T190),0,(S49+T190-#REF!)/T190))),2)</f>
        <v>#REF!</v>
      </c>
      <c r="U191" s="54" t="e">
        <f>ROUND(IF(#REF!&lt;=T49,1,(IF(#REF!&gt;(T49+U190),0,(T49+U190-#REF!)/U190))),2)</f>
        <v>#REF!</v>
      </c>
      <c r="V191" s="30"/>
      <c r="W191" s="30"/>
      <c r="X191" s="30"/>
      <c r="Y191" s="30"/>
      <c r="Z191" s="30"/>
      <c r="AA191" s="30"/>
      <c r="AB191" s="30"/>
      <c r="AC191" s="30"/>
      <c r="AD191" s="30"/>
    </row>
    <row r="192" spans="1:30" ht="18">
      <c r="A192" s="30" t="s">
        <v>227</v>
      </c>
      <c r="B192" s="44" t="e">
        <f>ROUND(((((B175*480*'Hist S and D'!$P$50/100*0.95)*('Hist S and D'!#REF!/100/12*10))+(B175*'Hist S and D'!#REF!*10))*B191),0)</f>
        <v>#REF!</v>
      </c>
      <c r="C192" s="44" t="e">
        <f>ROUND(((((C175*480*B49/100*0.95)*(B185/100/12*10))+(C175*B184*10))*C191),0)</f>
        <v>#REF!</v>
      </c>
      <c r="D192" s="44" t="e">
        <f>ROUND(((((D175*480*C49/100*0.95)*(C185/100/12*10))+(D175*C184*10))*D191),0)</f>
        <v>#REF!</v>
      </c>
      <c r="E192" s="44" t="e">
        <f>ROUND(((((E175*480*D49/100*0.95)*(D185/100/12*10))+(E175*D184*10))*E191),0)</f>
        <v>#REF!</v>
      </c>
      <c r="F192" s="44" t="e">
        <f>ROUND(((((F175*480*$E49/100*0.95)*($E185/100/12*10))+(F175*$E184*10))*F191),0)</f>
        <v>#REF!</v>
      </c>
      <c r="G192" s="44" t="e">
        <f>ROUND(((((G175*480*E49/100*0.95)*(E185/100/12*10))+(G175*E184*10))*G191),0)</f>
        <v>#REF!</v>
      </c>
      <c r="H192" s="44" t="e">
        <f aca="true" t="shared" si="68" ref="H192:U192">ROUND(((((H175*480*G49/100*0.95)*(G185/100/12*10))+(H175*G184*10))*H191),0)</f>
        <v>#REF!</v>
      </c>
      <c r="I192" s="44" t="e">
        <f t="shared" si="68"/>
        <v>#REF!</v>
      </c>
      <c r="J192" s="44" t="e">
        <f t="shared" si="68"/>
        <v>#REF!</v>
      </c>
      <c r="K192" s="44" t="e">
        <f t="shared" si="68"/>
        <v>#REF!</v>
      </c>
      <c r="L192" s="44" t="e">
        <f t="shared" si="68"/>
        <v>#REF!</v>
      </c>
      <c r="M192" s="44" t="e">
        <f t="shared" si="68"/>
        <v>#REF!</v>
      </c>
      <c r="N192" s="44" t="e">
        <f t="shared" si="68"/>
        <v>#REF!</v>
      </c>
      <c r="O192" s="44" t="e">
        <f t="shared" si="68"/>
        <v>#REF!</v>
      </c>
      <c r="P192" s="44" t="e">
        <f t="shared" si="68"/>
        <v>#REF!</v>
      </c>
      <c r="Q192" s="44" t="e">
        <f t="shared" si="68"/>
        <v>#REF!</v>
      </c>
      <c r="R192" s="44" t="e">
        <f t="shared" si="68"/>
        <v>#REF!</v>
      </c>
      <c r="S192" s="44" t="e">
        <f t="shared" si="68"/>
        <v>#REF!</v>
      </c>
      <c r="T192" s="44" t="e">
        <f t="shared" si="68"/>
        <v>#REF!</v>
      </c>
      <c r="U192" s="44" t="e">
        <f t="shared" si="68"/>
        <v>#REF!</v>
      </c>
      <c r="V192" s="30"/>
      <c r="W192" s="30"/>
      <c r="X192" s="30"/>
      <c r="Y192" s="30"/>
      <c r="Z192" s="30"/>
      <c r="AA192" s="30"/>
      <c r="AB192" s="30"/>
      <c r="AC192" s="30"/>
      <c r="AD192" s="30"/>
    </row>
    <row r="193" spans="1:30" ht="18">
      <c r="A193" s="30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30"/>
      <c r="W193" s="30"/>
      <c r="X193" s="30"/>
      <c r="Y193" s="30"/>
      <c r="Z193" s="30"/>
      <c r="AA193" s="30"/>
      <c r="AB193" s="30"/>
      <c r="AC193" s="30"/>
      <c r="AD193" s="30"/>
    </row>
    <row r="194" spans="1:30" ht="18">
      <c r="A194" s="30" t="s">
        <v>228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30"/>
      <c r="W194" s="30"/>
      <c r="X194" s="30"/>
      <c r="Y194" s="30"/>
      <c r="Z194" s="30"/>
      <c r="AA194" s="30"/>
      <c r="AB194" s="30"/>
      <c r="AC194" s="30"/>
      <c r="AD194" s="30"/>
    </row>
    <row r="195" spans="1:30" ht="18">
      <c r="A195" s="30" t="s">
        <v>225</v>
      </c>
      <c r="B195" s="44" t="e">
        <f>ROUND((B49*0.95*(B185/100/12*7))+(B184*100/480*7),2)</f>
        <v>#REF!</v>
      </c>
      <c r="C195" s="44" t="e">
        <f>ROUND((C49*0.95*(C185/100/12*7))+(C184*100/480*7),2)</f>
        <v>#REF!</v>
      </c>
      <c r="D195" s="54">
        <f>ROUND((D49*0.95*(D185/100/12*4))+(D183*100/480*4),2)</f>
        <v>1.75</v>
      </c>
      <c r="E195" s="54">
        <f>ROUND((E49*0.95*(E185/100/12*7))+(E183*100/480*7),2)</f>
        <v>3.65</v>
      </c>
      <c r="F195" s="54">
        <f>ROUND((F49*0.95*(F185/100/12*7))+(F183*100/480*7),2)</f>
        <v>4.01</v>
      </c>
      <c r="G195" s="54">
        <f aca="true" t="shared" si="69" ref="G195:U195">ROUND((G49*0.95*(G185/100/12*6))+(G183*100/480*6),2)</f>
        <v>3.56</v>
      </c>
      <c r="H195" s="54">
        <f t="shared" si="69"/>
        <v>3.69</v>
      </c>
      <c r="I195" s="54">
        <f t="shared" si="69"/>
        <v>3.81</v>
      </c>
      <c r="J195" s="54">
        <f t="shared" si="69"/>
        <v>3.94</v>
      </c>
      <c r="K195" s="54">
        <f t="shared" si="69"/>
        <v>3.94</v>
      </c>
      <c r="L195" s="54">
        <f t="shared" si="69"/>
        <v>3.94</v>
      </c>
      <c r="M195" s="54">
        <f t="shared" si="69"/>
        <v>3.94</v>
      </c>
      <c r="N195" s="54">
        <f t="shared" si="69"/>
        <v>3.94</v>
      </c>
      <c r="O195" s="54">
        <f t="shared" si="69"/>
        <v>3.94</v>
      </c>
      <c r="P195" s="54">
        <f t="shared" si="69"/>
        <v>3.94</v>
      </c>
      <c r="Q195" s="54">
        <f t="shared" si="69"/>
        <v>3.94</v>
      </c>
      <c r="R195" s="54">
        <f t="shared" si="69"/>
        <v>3.94</v>
      </c>
      <c r="S195" s="54">
        <f t="shared" si="69"/>
        <v>3.94</v>
      </c>
      <c r="T195" s="54">
        <f t="shared" si="69"/>
        <v>3.94</v>
      </c>
      <c r="U195" s="54">
        <f t="shared" si="69"/>
        <v>3.94</v>
      </c>
      <c r="V195" s="30"/>
      <c r="W195" s="30"/>
      <c r="X195" s="30"/>
      <c r="Y195" s="30"/>
      <c r="Z195" s="30"/>
      <c r="AA195" s="30"/>
      <c r="AB195" s="30"/>
      <c r="AC195" s="30"/>
      <c r="AD195" s="30"/>
    </row>
    <row r="196" spans="1:30" ht="18">
      <c r="A196" s="30" t="s">
        <v>226</v>
      </c>
      <c r="B196" s="44">
        <v>1</v>
      </c>
      <c r="C196" s="44" t="e">
        <f>ROUND(IF(#REF!&lt;=C49,1,(IF(#REF!&gt;(C49+C195),0,(C49+C195-#REF!)/C195))),2)</f>
        <v>#REF!</v>
      </c>
      <c r="D196" s="54" t="e">
        <f>ROUND(IF(#REF!&lt;=D49,1,(IF(#REF!&gt;(D49+D195),0,(D49+D195-#REF!)/D195))),2)</f>
        <v>#REF!</v>
      </c>
      <c r="E196" s="54" t="e">
        <f>ROUND(IF(#REF!&lt;=E49,1,(IF(#REF!&gt;(E49+E195),0,(E49+E195-#REF!)/E195))),2)</f>
        <v>#REF!</v>
      </c>
      <c r="F196" s="54" t="e">
        <f>ROUND(IF(#REF!&lt;=F49,1,(IF(#REF!&gt;(F49+F195),0,(F49+F195-#REF!)/F195))),2)</f>
        <v>#REF!</v>
      </c>
      <c r="G196" s="54" t="e">
        <f>ROUND(IF(#REF!&lt;=G49,1,(IF(#REF!&gt;(G49+G195),0,(G49+G195-#REF!)/G195))),2)</f>
        <v>#REF!</v>
      </c>
      <c r="H196" s="54" t="e">
        <f>ROUND(IF(#REF!&lt;=H49,1,(IF(#REF!&gt;(H49+H195),0,(H49+H195-#REF!)/H195))),2)</f>
        <v>#REF!</v>
      </c>
      <c r="I196" s="54" t="e">
        <f>ROUND(IF(#REF!&lt;=I49,1,(IF(#REF!&gt;(I49+I195),0,(I49+I195-#REF!)/I195))),2)</f>
        <v>#REF!</v>
      </c>
      <c r="J196" s="54" t="e">
        <f>ROUND(IF(#REF!&lt;=J49,1,(IF(#REF!&gt;(J49+J195),0,(J49+J195-#REF!)/J195))),2)</f>
        <v>#REF!</v>
      </c>
      <c r="K196" s="54" t="e">
        <f>ROUND(IF(#REF!&lt;=K49,1,(IF(#REF!&gt;(K49+K195),0,(K49+K195-#REF!)/K195))),2)</f>
        <v>#REF!</v>
      </c>
      <c r="L196" s="54" t="e">
        <f>ROUND(IF(#REF!&lt;=L49,1,(IF(#REF!&gt;(L49+L195),0,(L49+L195-#REF!)/L195))),2)</f>
        <v>#REF!</v>
      </c>
      <c r="M196" s="54" t="e">
        <f>ROUND(IF(#REF!&lt;=M49,1,(IF(#REF!&gt;(M49+M195),0,(M49+M195-#REF!)/M195))),2)</f>
        <v>#REF!</v>
      </c>
      <c r="N196" s="54" t="e">
        <f>ROUND(IF(#REF!&lt;=N49,1,(IF(#REF!&gt;(N49+N195),0,(N49+N195-#REF!)/N195))),2)</f>
        <v>#REF!</v>
      </c>
      <c r="O196" s="54" t="e">
        <f>ROUND(IF(#REF!&lt;=O49,1,(IF(#REF!&gt;(O49+O195),0,(O49+O195-#REF!)/O195))),2)</f>
        <v>#REF!</v>
      </c>
      <c r="P196" s="54" t="e">
        <f>ROUND(IF(#REF!&lt;=P49,1,(IF(#REF!&gt;(P49+P195),0,(P49+P195-#REF!)/P195))),2)</f>
        <v>#REF!</v>
      </c>
      <c r="Q196" s="54" t="e">
        <f>ROUND(IF(#REF!&lt;=Q49,1,(IF(#REF!&gt;(Q49+Q195),0,(Q49+Q195-#REF!)/Q195))),2)</f>
        <v>#REF!</v>
      </c>
      <c r="R196" s="54" t="e">
        <f>ROUND(IF(#REF!&lt;=R49,1,(IF(#REF!&gt;(R49+R195),0,(R49+R195-#REF!)/R195))),2)</f>
        <v>#REF!</v>
      </c>
      <c r="S196" s="54" t="e">
        <f>ROUND(IF(#REF!&lt;=S49,1,(IF(#REF!&gt;(S49+S195),0,(S49+S195-#REF!)/S195))),2)</f>
        <v>#REF!</v>
      </c>
      <c r="T196" s="54" t="e">
        <f>ROUND(IF(#REF!&lt;=T49,1,(IF(#REF!&gt;(T49+T195),0,(T49+T195-#REF!)/T195))),2)</f>
        <v>#REF!</v>
      </c>
      <c r="U196" s="54" t="e">
        <f>ROUND(IF(#REF!&lt;=U49,1,(IF(#REF!&gt;(U49+U195),0,(U49+U195-#REF!)/U195))),2)</f>
        <v>#REF!</v>
      </c>
      <c r="V196" s="30"/>
      <c r="W196" s="30"/>
      <c r="X196" s="30"/>
      <c r="Y196" s="30"/>
      <c r="Z196" s="30"/>
      <c r="AA196" s="30"/>
      <c r="AB196" s="30"/>
      <c r="AC196" s="30"/>
      <c r="AD196" s="30"/>
    </row>
    <row r="197" spans="1:30" ht="18">
      <c r="A197" s="30" t="s">
        <v>227</v>
      </c>
      <c r="B197" s="44" t="e">
        <f>ROUND(((((B174*480*B49/100*0.95)*(B185/100/12*7))+(B174*B184*7))*B196),0)</f>
        <v>#REF!</v>
      </c>
      <c r="C197" s="44" t="e">
        <f>ROUND(((((C174*480*C49/100*0.95)*(C185/100/12*7))+(C174*C184*7))*C196),0)</f>
        <v>#REF!</v>
      </c>
      <c r="D197" s="44" t="e">
        <f>ROUND(((((D174*480*D49/100*0.95)*(D185/100/12*4))+(D174*D184*4))*D196),0)</f>
        <v>#REF!</v>
      </c>
      <c r="E197" s="44" t="e">
        <f aca="true" t="shared" si="70" ref="E197:U197">ROUND(((((E174*480*E49/100*0.95)*(E185/100/12*7))+(E174*E184*7))*E196),0)</f>
        <v>#REF!</v>
      </c>
      <c r="F197" s="44" t="e">
        <f t="shared" si="70"/>
        <v>#REF!</v>
      </c>
      <c r="G197" s="44" t="e">
        <f t="shared" si="70"/>
        <v>#REF!</v>
      </c>
      <c r="H197" s="44" t="e">
        <f t="shared" si="70"/>
        <v>#REF!</v>
      </c>
      <c r="I197" s="44" t="e">
        <f t="shared" si="70"/>
        <v>#REF!</v>
      </c>
      <c r="J197" s="44" t="e">
        <f t="shared" si="70"/>
        <v>#REF!</v>
      </c>
      <c r="K197" s="44" t="e">
        <f t="shared" si="70"/>
        <v>#REF!</v>
      </c>
      <c r="L197" s="44" t="e">
        <f t="shared" si="70"/>
        <v>#REF!</v>
      </c>
      <c r="M197" s="44" t="e">
        <f t="shared" si="70"/>
        <v>#REF!</v>
      </c>
      <c r="N197" s="44" t="e">
        <f t="shared" si="70"/>
        <v>#REF!</v>
      </c>
      <c r="O197" s="44" t="e">
        <f t="shared" si="70"/>
        <v>#REF!</v>
      </c>
      <c r="P197" s="44" t="e">
        <f t="shared" si="70"/>
        <v>#REF!</v>
      </c>
      <c r="Q197" s="44" t="e">
        <f t="shared" si="70"/>
        <v>#REF!</v>
      </c>
      <c r="R197" s="44" t="e">
        <f t="shared" si="70"/>
        <v>#REF!</v>
      </c>
      <c r="S197" s="44" t="e">
        <f t="shared" si="70"/>
        <v>#REF!</v>
      </c>
      <c r="T197" s="44" t="e">
        <f t="shared" si="70"/>
        <v>#REF!</v>
      </c>
      <c r="U197" s="44" t="e">
        <f t="shared" si="70"/>
        <v>#REF!</v>
      </c>
      <c r="V197" s="30"/>
      <c r="W197" s="30"/>
      <c r="X197" s="30"/>
      <c r="Y197" s="30"/>
      <c r="Z197" s="30"/>
      <c r="AA197" s="30"/>
      <c r="AB197" s="30"/>
      <c r="AC197" s="30"/>
      <c r="AD197" s="30"/>
    </row>
    <row r="198" spans="1:30" ht="18">
      <c r="A198" s="30" t="s">
        <v>229</v>
      </c>
      <c r="B198" s="44" t="e">
        <f>ROUND((((B174*B184*7))*B196),0)</f>
        <v>#REF!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30"/>
      <c r="W198" s="30"/>
      <c r="X198" s="30"/>
      <c r="Y198" s="30"/>
      <c r="Z198" s="30"/>
      <c r="AA198" s="30"/>
      <c r="AB198" s="30"/>
      <c r="AC198" s="30"/>
      <c r="AD198" s="30"/>
    </row>
    <row r="199" spans="1:30" ht="18">
      <c r="A199" s="30" t="s">
        <v>230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30"/>
      <c r="W199" s="30"/>
      <c r="X199" s="30"/>
      <c r="Y199" s="30"/>
      <c r="Z199" s="30"/>
      <c r="AA199" s="30"/>
      <c r="AB199" s="30"/>
      <c r="AC199" s="30"/>
      <c r="AD199" s="30"/>
    </row>
    <row r="200" spans="1:30" ht="18">
      <c r="A200" s="30" t="s">
        <v>231</v>
      </c>
      <c r="B200" s="44" t="e">
        <f aca="true" t="shared" si="71" ref="B200:U200">ROUND((((B176*480*B49/100*0.95)*(B185/100/12*7))+(B176*B184*7)),0)</f>
        <v>#REF!</v>
      </c>
      <c r="C200" s="44" t="e">
        <f t="shared" si="71"/>
        <v>#REF!</v>
      </c>
      <c r="D200" s="44">
        <f t="shared" si="71"/>
        <v>0</v>
      </c>
      <c r="E200" s="44">
        <f t="shared" si="71"/>
        <v>0</v>
      </c>
      <c r="F200" s="44">
        <f t="shared" si="71"/>
        <v>0</v>
      </c>
      <c r="G200" s="44">
        <f t="shared" si="71"/>
        <v>0</v>
      </c>
      <c r="H200" s="44">
        <f t="shared" si="71"/>
        <v>0</v>
      </c>
      <c r="I200" s="44">
        <f t="shared" si="71"/>
        <v>0</v>
      </c>
      <c r="J200" s="44">
        <f t="shared" si="71"/>
        <v>0</v>
      </c>
      <c r="K200" s="44">
        <f t="shared" si="71"/>
        <v>0</v>
      </c>
      <c r="L200" s="44">
        <f t="shared" si="71"/>
        <v>0</v>
      </c>
      <c r="M200" s="44">
        <f t="shared" si="71"/>
        <v>0</v>
      </c>
      <c r="N200" s="44">
        <f t="shared" si="71"/>
        <v>0</v>
      </c>
      <c r="O200" s="44">
        <f t="shared" si="71"/>
        <v>0</v>
      </c>
      <c r="P200" s="44">
        <f t="shared" si="71"/>
        <v>0</v>
      </c>
      <c r="Q200" s="44">
        <f t="shared" si="71"/>
        <v>0</v>
      </c>
      <c r="R200" s="44">
        <f t="shared" si="71"/>
        <v>0</v>
      </c>
      <c r="S200" s="44">
        <f t="shared" si="71"/>
        <v>0</v>
      </c>
      <c r="T200" s="44">
        <f t="shared" si="71"/>
        <v>0</v>
      </c>
      <c r="U200" s="44">
        <f t="shared" si="71"/>
        <v>0</v>
      </c>
      <c r="V200" s="30"/>
      <c r="W200" s="30"/>
      <c r="X200" s="30"/>
      <c r="Y200" s="30"/>
      <c r="Z200" s="30"/>
      <c r="AA200" s="30"/>
      <c r="AB200" s="30"/>
      <c r="AC200" s="30"/>
      <c r="AD200" s="30"/>
    </row>
    <row r="201" spans="1:30" ht="18">
      <c r="A201" s="30" t="s">
        <v>232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30"/>
      <c r="W201" s="30"/>
      <c r="X201" s="30"/>
      <c r="Y201" s="30"/>
      <c r="Z201" s="30"/>
      <c r="AA201" s="30"/>
      <c r="AB201" s="30"/>
      <c r="AC201" s="30"/>
      <c r="AD201" s="30"/>
    </row>
    <row r="202" spans="1:30" ht="18">
      <c r="A202" s="30" t="s">
        <v>233</v>
      </c>
      <c r="B202" s="44" t="e">
        <f>ROUND(B177*'Hist S and D'!#REF!*10,0)</f>
        <v>#REF!</v>
      </c>
      <c r="C202" s="44" t="e">
        <f>ROUND(C177*B184*10,0)</f>
        <v>#REF!</v>
      </c>
      <c r="D202" s="44" t="e">
        <f>ROUND(D177*C184*10,0)</f>
        <v>#REF!</v>
      </c>
      <c r="E202" s="44">
        <f>ROUND(E177*D184*10,0)</f>
        <v>0</v>
      </c>
      <c r="F202" s="44">
        <f>ROUND(F177*$E184*10,0)</f>
        <v>0</v>
      </c>
      <c r="G202" s="44">
        <f>ROUND(G177*E184*10,0)</f>
        <v>0</v>
      </c>
      <c r="H202" s="44">
        <f aca="true" t="shared" si="72" ref="H202:U202">ROUND(H177*G184*10,0)</f>
        <v>0</v>
      </c>
      <c r="I202" s="44">
        <f t="shared" si="72"/>
        <v>0</v>
      </c>
      <c r="J202" s="44">
        <f t="shared" si="72"/>
        <v>0</v>
      </c>
      <c r="K202" s="44">
        <f t="shared" si="72"/>
        <v>0</v>
      </c>
      <c r="L202" s="44">
        <f t="shared" si="72"/>
        <v>0</v>
      </c>
      <c r="M202" s="44">
        <f t="shared" si="72"/>
        <v>0</v>
      </c>
      <c r="N202" s="44">
        <f t="shared" si="72"/>
        <v>0</v>
      </c>
      <c r="O202" s="44">
        <f t="shared" si="72"/>
        <v>0</v>
      </c>
      <c r="P202" s="44">
        <f t="shared" si="72"/>
        <v>0</v>
      </c>
      <c r="Q202" s="44">
        <f t="shared" si="72"/>
        <v>0</v>
      </c>
      <c r="R202" s="44">
        <f t="shared" si="72"/>
        <v>0</v>
      </c>
      <c r="S202" s="44">
        <f t="shared" si="72"/>
        <v>0</v>
      </c>
      <c r="T202" s="44">
        <f t="shared" si="72"/>
        <v>0</v>
      </c>
      <c r="U202" s="44">
        <f t="shared" si="72"/>
        <v>0</v>
      </c>
      <c r="V202" s="30"/>
      <c r="W202" s="30"/>
      <c r="X202" s="30"/>
      <c r="Y202" s="30"/>
      <c r="Z202" s="30"/>
      <c r="AA202" s="30"/>
      <c r="AB202" s="30"/>
      <c r="AC202" s="30"/>
      <c r="AD202" s="30"/>
    </row>
    <row r="203" spans="1:30" ht="18">
      <c r="A203" s="30" t="s">
        <v>234</v>
      </c>
      <c r="B203" s="44" t="e">
        <f>ROUND(((B177*480*B49/100*0.95)*('Hist S and D'!#REF!/100/12*12)),0)</f>
        <v>#REF!</v>
      </c>
      <c r="C203" s="44">
        <f>ROUND(((C177*480*C49/100*0.95)*(B185/100/12*12)),0)</f>
        <v>0</v>
      </c>
      <c r="D203" s="44">
        <f>ROUND(((D177*480*D49/100*0.95)*(C185/100/12*12)),0)</f>
        <v>0</v>
      </c>
      <c r="E203" s="44">
        <f>ROUND(((E177*480*E49/100*0.95)*(D185/100/12*12)),0)</f>
        <v>0</v>
      </c>
      <c r="F203" s="44">
        <f>ROUND(((F177*480*F49/100*0.95)*($E185/100/12*12)),0)</f>
        <v>0</v>
      </c>
      <c r="G203" s="44">
        <f>ROUND(((G177*480*G49/100*0.95)*(E185/100/12*12)),0)</f>
        <v>0</v>
      </c>
      <c r="H203" s="44">
        <f aca="true" t="shared" si="73" ref="H203:U203">ROUND(((H177*480*H49/100*0.95)*(G185/100/12*12)),0)</f>
        <v>0</v>
      </c>
      <c r="I203" s="44">
        <f t="shared" si="73"/>
        <v>0</v>
      </c>
      <c r="J203" s="44">
        <f t="shared" si="73"/>
        <v>0</v>
      </c>
      <c r="K203" s="44">
        <f t="shared" si="73"/>
        <v>0</v>
      </c>
      <c r="L203" s="44">
        <f t="shared" si="73"/>
        <v>0</v>
      </c>
      <c r="M203" s="44">
        <f t="shared" si="73"/>
        <v>0</v>
      </c>
      <c r="N203" s="44">
        <f t="shared" si="73"/>
        <v>0</v>
      </c>
      <c r="O203" s="44">
        <f t="shared" si="73"/>
        <v>0</v>
      </c>
      <c r="P203" s="44">
        <f t="shared" si="73"/>
        <v>0</v>
      </c>
      <c r="Q203" s="44">
        <f t="shared" si="73"/>
        <v>0</v>
      </c>
      <c r="R203" s="44">
        <f t="shared" si="73"/>
        <v>0</v>
      </c>
      <c r="S203" s="44">
        <f t="shared" si="73"/>
        <v>0</v>
      </c>
      <c r="T203" s="44">
        <f t="shared" si="73"/>
        <v>0</v>
      </c>
      <c r="U203" s="44">
        <f t="shared" si="73"/>
        <v>0</v>
      </c>
      <c r="V203" s="30"/>
      <c r="W203" s="30"/>
      <c r="X203" s="30"/>
      <c r="Y203" s="30"/>
      <c r="Z203" s="30"/>
      <c r="AA203" s="30"/>
      <c r="AB203" s="30"/>
      <c r="AC203" s="30"/>
      <c r="AD203" s="30"/>
    </row>
    <row r="204" spans="1:30" ht="18">
      <c r="A204" s="30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30"/>
      <c r="W204" s="30"/>
      <c r="X204" s="30"/>
      <c r="Y204" s="30"/>
      <c r="Z204" s="30"/>
      <c r="AA204" s="30"/>
      <c r="AB204" s="30"/>
      <c r="AC204" s="30"/>
      <c r="AD204" s="30"/>
    </row>
    <row r="205" spans="1:30" ht="18">
      <c r="A205" s="30" t="s">
        <v>235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30"/>
      <c r="W205" s="30"/>
      <c r="X205" s="30"/>
      <c r="Y205" s="30"/>
      <c r="Z205" s="30"/>
      <c r="AA205" s="30"/>
      <c r="AB205" s="30"/>
      <c r="AC205" s="30"/>
      <c r="AD205" s="30"/>
    </row>
    <row r="206" spans="1:30" ht="18">
      <c r="A206" s="30" t="s">
        <v>236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30"/>
      <c r="W206" s="30"/>
      <c r="X206" s="30"/>
      <c r="Y206" s="30"/>
      <c r="Z206" s="30"/>
      <c r="AA206" s="30"/>
      <c r="AB206" s="30"/>
      <c r="AC206" s="30"/>
      <c r="AD206" s="30"/>
    </row>
    <row r="207" spans="1:30" ht="18">
      <c r="A207" s="30" t="s">
        <v>233</v>
      </c>
      <c r="B207" s="44" t="e">
        <f>ROUND(B178*'Hist S and D'!#REF!*10,0)</f>
        <v>#REF!</v>
      </c>
      <c r="C207" s="44" t="e">
        <f>ROUND(C178*B184*10,0)</f>
        <v>#REF!</v>
      </c>
      <c r="D207" s="44" t="e">
        <f>ROUND(D178*C184*10,0)</f>
        <v>#REF!</v>
      </c>
      <c r="E207" s="44">
        <f>ROUND(E178*D184*10,0)</f>
        <v>19</v>
      </c>
      <c r="F207" s="44">
        <f>ROUND(F178*$E184*10,0)</f>
        <v>0</v>
      </c>
      <c r="G207" s="44">
        <f>ROUND(G178*E184*10,0)</f>
        <v>0</v>
      </c>
      <c r="H207" s="44">
        <f aca="true" t="shared" si="74" ref="H207:U207">ROUND(H178*G184*10,0)</f>
        <v>0</v>
      </c>
      <c r="I207" s="44">
        <f t="shared" si="74"/>
        <v>0</v>
      </c>
      <c r="J207" s="44">
        <f t="shared" si="74"/>
        <v>0</v>
      </c>
      <c r="K207" s="44">
        <f t="shared" si="74"/>
        <v>0</v>
      </c>
      <c r="L207" s="44">
        <f t="shared" si="74"/>
        <v>0</v>
      </c>
      <c r="M207" s="44">
        <f t="shared" si="74"/>
        <v>0</v>
      </c>
      <c r="N207" s="44">
        <f t="shared" si="74"/>
        <v>0</v>
      </c>
      <c r="O207" s="44">
        <f t="shared" si="74"/>
        <v>0</v>
      </c>
      <c r="P207" s="44">
        <f t="shared" si="74"/>
        <v>0</v>
      </c>
      <c r="Q207" s="44">
        <f t="shared" si="74"/>
        <v>0</v>
      </c>
      <c r="R207" s="44">
        <f t="shared" si="74"/>
        <v>0</v>
      </c>
      <c r="S207" s="44">
        <f t="shared" si="74"/>
        <v>0</v>
      </c>
      <c r="T207" s="44">
        <f t="shared" si="74"/>
        <v>0</v>
      </c>
      <c r="U207" s="44">
        <f t="shared" si="74"/>
        <v>0</v>
      </c>
      <c r="V207" s="30"/>
      <c r="W207" s="30"/>
      <c r="X207" s="30"/>
      <c r="Y207" s="30"/>
      <c r="Z207" s="30"/>
      <c r="AA207" s="30"/>
      <c r="AB207" s="30"/>
      <c r="AC207" s="30"/>
      <c r="AD207" s="30"/>
    </row>
    <row r="208" spans="1:30" ht="18">
      <c r="A208" s="30" t="s">
        <v>234</v>
      </c>
      <c r="B208" s="44" t="e">
        <f>ROUND(((B178*480*'Hist S and D'!$P$50/100*0.95)*('Hist S and D'!#REF!/100/12*18)),0)</f>
        <v>#REF!</v>
      </c>
      <c r="C208" s="44">
        <f>ROUND(((C178*480*B49/100*0.95)*(B185/100/12*18)),0)</f>
        <v>191</v>
      </c>
      <c r="D208" s="44">
        <f>ROUND(((D178*480*C49/100*0.95)*(C185/100/12*18)),0)</f>
        <v>75</v>
      </c>
      <c r="E208" s="44">
        <f>ROUND(((E178*480*D49/100*0.95)*(D185/100/12*18)),0)</f>
        <v>0</v>
      </c>
      <c r="F208" s="44">
        <f>ROUND(((F178*480*$E49/100*0.95)*($E185/100/12*18)),0)</f>
        <v>0</v>
      </c>
      <c r="G208" s="44">
        <f>ROUND(((G178*480*E49/100*0.95)*(E185/100/12*18)),0)</f>
        <v>0</v>
      </c>
      <c r="H208" s="44">
        <f aca="true" t="shared" si="75" ref="H208:U208">ROUND(((H178*480*G49/100*0.95)*(G185/100/12*18)),0)</f>
        <v>0</v>
      </c>
      <c r="I208" s="44">
        <f t="shared" si="75"/>
        <v>0</v>
      </c>
      <c r="J208" s="44">
        <f t="shared" si="75"/>
        <v>0</v>
      </c>
      <c r="K208" s="44">
        <f t="shared" si="75"/>
        <v>0</v>
      </c>
      <c r="L208" s="44">
        <f t="shared" si="75"/>
        <v>0</v>
      </c>
      <c r="M208" s="44">
        <f t="shared" si="75"/>
        <v>0</v>
      </c>
      <c r="N208" s="44">
        <f t="shared" si="75"/>
        <v>0</v>
      </c>
      <c r="O208" s="44">
        <f t="shared" si="75"/>
        <v>0</v>
      </c>
      <c r="P208" s="44">
        <f t="shared" si="75"/>
        <v>0</v>
      </c>
      <c r="Q208" s="44">
        <f t="shared" si="75"/>
        <v>0</v>
      </c>
      <c r="R208" s="44">
        <f t="shared" si="75"/>
        <v>0</v>
      </c>
      <c r="S208" s="44">
        <f t="shared" si="75"/>
        <v>0</v>
      </c>
      <c r="T208" s="44">
        <f t="shared" si="75"/>
        <v>0</v>
      </c>
      <c r="U208" s="44">
        <f t="shared" si="75"/>
        <v>0</v>
      </c>
      <c r="V208" s="30"/>
      <c r="W208" s="30"/>
      <c r="X208" s="30"/>
      <c r="Y208" s="30"/>
      <c r="Z208" s="30"/>
      <c r="AA208" s="30"/>
      <c r="AB208" s="30"/>
      <c r="AC208" s="30"/>
      <c r="AD208" s="30"/>
    </row>
    <row r="209" spans="1:30" ht="18">
      <c r="A209" s="30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30"/>
      <c r="W209" s="30"/>
      <c r="X209" s="30"/>
      <c r="Y209" s="30"/>
      <c r="Z209" s="30"/>
      <c r="AA209" s="30"/>
      <c r="AB209" s="30"/>
      <c r="AC209" s="30"/>
      <c r="AD209" s="30"/>
    </row>
    <row r="210" spans="1:30" ht="18">
      <c r="A210" s="30" t="s">
        <v>237</v>
      </c>
      <c r="B210" s="44" t="e">
        <f>B187+B192+B198+SUM(B200:B208)</f>
        <v>#REF!</v>
      </c>
      <c r="C210" s="44" t="e">
        <f aca="true" t="shared" si="76" ref="C210:U210">C187+C192+C197+SUM(C200:C208)</f>
        <v>#REF!</v>
      </c>
      <c r="D210" s="44" t="e">
        <f t="shared" si="76"/>
        <v>#REF!</v>
      </c>
      <c r="E210" s="44" t="e">
        <f t="shared" si="76"/>
        <v>#REF!</v>
      </c>
      <c r="F210" s="44" t="e">
        <f t="shared" si="76"/>
        <v>#REF!</v>
      </c>
      <c r="G210" s="44" t="e">
        <f t="shared" si="76"/>
        <v>#REF!</v>
      </c>
      <c r="H210" s="44" t="e">
        <f t="shared" si="76"/>
        <v>#REF!</v>
      </c>
      <c r="I210" s="44" t="e">
        <f t="shared" si="76"/>
        <v>#REF!</v>
      </c>
      <c r="J210" s="44" t="e">
        <f t="shared" si="76"/>
        <v>#REF!</v>
      </c>
      <c r="K210" s="44" t="e">
        <f t="shared" si="76"/>
        <v>#REF!</v>
      </c>
      <c r="L210" s="44" t="e">
        <f t="shared" si="76"/>
        <v>#REF!</v>
      </c>
      <c r="M210" s="44" t="e">
        <f t="shared" si="76"/>
        <v>#REF!</v>
      </c>
      <c r="N210" s="44" t="e">
        <f t="shared" si="76"/>
        <v>#REF!</v>
      </c>
      <c r="O210" s="44" t="e">
        <f t="shared" si="76"/>
        <v>#REF!</v>
      </c>
      <c r="P210" s="44" t="e">
        <f t="shared" si="76"/>
        <v>#REF!</v>
      </c>
      <c r="Q210" s="44" t="e">
        <f t="shared" si="76"/>
        <v>#REF!</v>
      </c>
      <c r="R210" s="44" t="e">
        <f t="shared" si="76"/>
        <v>#REF!</v>
      </c>
      <c r="S210" s="44" t="e">
        <f t="shared" si="76"/>
        <v>#REF!</v>
      </c>
      <c r="T210" s="44" t="e">
        <f t="shared" si="76"/>
        <v>#REF!</v>
      </c>
      <c r="U210" s="44" t="e">
        <f t="shared" si="76"/>
        <v>#REF!</v>
      </c>
      <c r="V210" s="30"/>
      <c r="W210" s="30"/>
      <c r="X210" s="30"/>
      <c r="Y210" s="30"/>
      <c r="Z210" s="30"/>
      <c r="AA210" s="30"/>
      <c r="AB210" s="30"/>
      <c r="AC210" s="30"/>
      <c r="AD210" s="30"/>
    </row>
    <row r="211" spans="1:30" ht="18">
      <c r="A211" s="30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30"/>
      <c r="W211" s="30"/>
      <c r="X211" s="30"/>
      <c r="Y211" s="30"/>
      <c r="Z211" s="30"/>
      <c r="AA211" s="30"/>
      <c r="AB211" s="30"/>
      <c r="AC211" s="30"/>
      <c r="AD211" s="30"/>
    </row>
    <row r="212" spans="1:30" ht="18">
      <c r="A212" s="30" t="s">
        <v>238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30"/>
      <c r="W212" s="30"/>
      <c r="X212" s="30"/>
      <c r="Y212" s="30"/>
      <c r="Z212" s="30"/>
      <c r="AA212" s="30"/>
      <c r="AB212" s="30"/>
      <c r="AC212" s="30"/>
      <c r="AD212" s="30"/>
    </row>
    <row r="213" spans="1:30" ht="18">
      <c r="A213" s="30" t="s">
        <v>239</v>
      </c>
      <c r="B213" s="44" t="e">
        <f aca="true" t="shared" si="77" ref="B213:U213">ROUND(B148*((11*B184)),0)</f>
        <v>#REF!</v>
      </c>
      <c r="C213" s="44" t="e">
        <f t="shared" si="77"/>
        <v>#REF!</v>
      </c>
      <c r="D213" s="44">
        <f t="shared" si="77"/>
        <v>0</v>
      </c>
      <c r="E213" s="44">
        <f t="shared" si="77"/>
        <v>0</v>
      </c>
      <c r="F213" s="44">
        <f t="shared" si="77"/>
        <v>0</v>
      </c>
      <c r="G213" s="44">
        <f t="shared" si="77"/>
        <v>0</v>
      </c>
      <c r="H213" s="44">
        <f t="shared" si="77"/>
        <v>0</v>
      </c>
      <c r="I213" s="44">
        <f t="shared" si="77"/>
        <v>0</v>
      </c>
      <c r="J213" s="44">
        <f t="shared" si="77"/>
        <v>0</v>
      </c>
      <c r="K213" s="44">
        <f t="shared" si="77"/>
        <v>0</v>
      </c>
      <c r="L213" s="44">
        <f t="shared" si="77"/>
        <v>0</v>
      </c>
      <c r="M213" s="44">
        <f t="shared" si="77"/>
        <v>0</v>
      </c>
      <c r="N213" s="44">
        <f t="shared" si="77"/>
        <v>0</v>
      </c>
      <c r="O213" s="44">
        <f t="shared" si="77"/>
        <v>0</v>
      </c>
      <c r="P213" s="44">
        <f t="shared" si="77"/>
        <v>0</v>
      </c>
      <c r="Q213" s="44">
        <f t="shared" si="77"/>
        <v>0</v>
      </c>
      <c r="R213" s="44">
        <f t="shared" si="77"/>
        <v>0</v>
      </c>
      <c r="S213" s="44">
        <f t="shared" si="77"/>
        <v>0</v>
      </c>
      <c r="T213" s="44">
        <f t="shared" si="77"/>
        <v>0</v>
      </c>
      <c r="U213" s="44">
        <f t="shared" si="77"/>
        <v>0</v>
      </c>
      <c r="V213" s="30"/>
      <c r="W213" s="30"/>
      <c r="X213" s="30"/>
      <c r="Y213" s="30"/>
      <c r="Z213" s="30"/>
      <c r="AA213" s="30"/>
      <c r="AB213" s="30"/>
      <c r="AC213" s="30"/>
      <c r="AD213" s="30"/>
    </row>
    <row r="214" spans="1:30" ht="18">
      <c r="A214" s="30" t="s">
        <v>240</v>
      </c>
      <c r="B214" s="44" t="e">
        <f>ROUND(B156*((2*B184)),0)</f>
        <v>#REF!</v>
      </c>
      <c r="C214" s="44">
        <v>20</v>
      </c>
      <c r="D214" s="44">
        <f aca="true" t="shared" si="78" ref="D214:U214">ROUND(D156*((2*D184)),0)</f>
        <v>26</v>
      </c>
      <c r="E214" s="44">
        <f t="shared" si="78"/>
        <v>4</v>
      </c>
      <c r="F214" s="44">
        <f t="shared" si="78"/>
        <v>0</v>
      </c>
      <c r="G214" s="44">
        <f t="shared" si="78"/>
        <v>0</v>
      </c>
      <c r="H214" s="44">
        <f t="shared" si="78"/>
        <v>0</v>
      </c>
      <c r="I214" s="44">
        <f t="shared" si="78"/>
        <v>0</v>
      </c>
      <c r="J214" s="44">
        <f t="shared" si="78"/>
        <v>0</v>
      </c>
      <c r="K214" s="44">
        <f t="shared" si="78"/>
        <v>0</v>
      </c>
      <c r="L214" s="44">
        <f t="shared" si="78"/>
        <v>0</v>
      </c>
      <c r="M214" s="44">
        <f t="shared" si="78"/>
        <v>0</v>
      </c>
      <c r="N214" s="44">
        <f t="shared" si="78"/>
        <v>0</v>
      </c>
      <c r="O214" s="44">
        <f t="shared" si="78"/>
        <v>0</v>
      </c>
      <c r="P214" s="44">
        <f t="shared" si="78"/>
        <v>0</v>
      </c>
      <c r="Q214" s="44">
        <f t="shared" si="78"/>
        <v>0</v>
      </c>
      <c r="R214" s="44">
        <f t="shared" si="78"/>
        <v>0</v>
      </c>
      <c r="S214" s="44">
        <f t="shared" si="78"/>
        <v>0</v>
      </c>
      <c r="T214" s="44">
        <f t="shared" si="78"/>
        <v>0</v>
      </c>
      <c r="U214" s="44">
        <f t="shared" si="78"/>
        <v>0</v>
      </c>
      <c r="V214" s="30"/>
      <c r="W214" s="30"/>
      <c r="X214" s="30"/>
      <c r="Y214" s="30"/>
      <c r="Z214" s="30"/>
      <c r="AA214" s="30"/>
      <c r="AB214" s="30"/>
      <c r="AC214" s="30"/>
      <c r="AD214" s="30"/>
    </row>
    <row r="215" spans="1:30" ht="18">
      <c r="A215" s="30" t="s">
        <v>241</v>
      </c>
      <c r="B215" s="44">
        <v>20</v>
      </c>
      <c r="C215" s="44">
        <v>61</v>
      </c>
      <c r="D215" s="44">
        <v>290</v>
      </c>
      <c r="E215" s="44">
        <v>296</v>
      </c>
      <c r="F215" s="44">
        <f aca="true" t="shared" si="79" ref="F215:U215">ROUND((MAX((F154-F160),0))*(12*F184),0)</f>
        <v>0</v>
      </c>
      <c r="G215" s="44">
        <f t="shared" si="79"/>
        <v>0</v>
      </c>
      <c r="H215" s="44">
        <f t="shared" si="79"/>
        <v>0</v>
      </c>
      <c r="I215" s="44">
        <f t="shared" si="79"/>
        <v>0</v>
      </c>
      <c r="J215" s="44">
        <f t="shared" si="79"/>
        <v>0</v>
      </c>
      <c r="K215" s="44">
        <f t="shared" si="79"/>
        <v>0</v>
      </c>
      <c r="L215" s="44">
        <f t="shared" si="79"/>
        <v>0</v>
      </c>
      <c r="M215" s="44">
        <f t="shared" si="79"/>
        <v>0</v>
      </c>
      <c r="N215" s="44">
        <f t="shared" si="79"/>
        <v>0</v>
      </c>
      <c r="O215" s="44">
        <f t="shared" si="79"/>
        <v>0</v>
      </c>
      <c r="P215" s="44">
        <f t="shared" si="79"/>
        <v>0</v>
      </c>
      <c r="Q215" s="44">
        <f t="shared" si="79"/>
        <v>0</v>
      </c>
      <c r="R215" s="44">
        <f t="shared" si="79"/>
        <v>0</v>
      </c>
      <c r="S215" s="44">
        <f t="shared" si="79"/>
        <v>0</v>
      </c>
      <c r="T215" s="44">
        <f t="shared" si="79"/>
        <v>0</v>
      </c>
      <c r="U215" s="44">
        <f t="shared" si="79"/>
        <v>0</v>
      </c>
      <c r="V215" s="30"/>
      <c r="W215" s="30"/>
      <c r="X215" s="30"/>
      <c r="Y215" s="30"/>
      <c r="Z215" s="30"/>
      <c r="AA215" s="30"/>
      <c r="AB215" s="30"/>
      <c r="AC215" s="30"/>
      <c r="AD215" s="30"/>
    </row>
    <row r="216" spans="1:30" ht="18">
      <c r="A216" s="30" t="s">
        <v>242</v>
      </c>
      <c r="B216" s="44" t="e">
        <f aca="true" t="shared" si="80" ref="B216:U216">SUM(B213:B215)</f>
        <v>#REF!</v>
      </c>
      <c r="C216" s="44" t="e">
        <f t="shared" si="80"/>
        <v>#REF!</v>
      </c>
      <c r="D216" s="44">
        <f t="shared" si="80"/>
        <v>316</v>
      </c>
      <c r="E216" s="44">
        <f t="shared" si="80"/>
        <v>300</v>
      </c>
      <c r="F216" s="44">
        <f t="shared" si="80"/>
        <v>0</v>
      </c>
      <c r="G216" s="44">
        <f t="shared" si="80"/>
        <v>0</v>
      </c>
      <c r="H216" s="44">
        <f t="shared" si="80"/>
        <v>0</v>
      </c>
      <c r="I216" s="44">
        <f t="shared" si="80"/>
        <v>0</v>
      </c>
      <c r="J216" s="44">
        <f t="shared" si="80"/>
        <v>0</v>
      </c>
      <c r="K216" s="44">
        <f t="shared" si="80"/>
        <v>0</v>
      </c>
      <c r="L216" s="44">
        <f t="shared" si="80"/>
        <v>0</v>
      </c>
      <c r="M216" s="44">
        <f t="shared" si="80"/>
        <v>0</v>
      </c>
      <c r="N216" s="44">
        <f t="shared" si="80"/>
        <v>0</v>
      </c>
      <c r="O216" s="44">
        <f t="shared" si="80"/>
        <v>0</v>
      </c>
      <c r="P216" s="44">
        <f t="shared" si="80"/>
        <v>0</v>
      </c>
      <c r="Q216" s="44">
        <f t="shared" si="80"/>
        <v>0</v>
      </c>
      <c r="R216" s="44">
        <f t="shared" si="80"/>
        <v>0</v>
      </c>
      <c r="S216" s="44">
        <f t="shared" si="80"/>
        <v>0</v>
      </c>
      <c r="T216" s="44">
        <f t="shared" si="80"/>
        <v>0</v>
      </c>
      <c r="U216" s="44">
        <f t="shared" si="80"/>
        <v>0</v>
      </c>
      <c r="V216" s="30"/>
      <c r="W216" s="30"/>
      <c r="X216" s="30"/>
      <c r="Y216" s="30"/>
      <c r="Z216" s="30"/>
      <c r="AA216" s="30"/>
      <c r="AB216" s="30"/>
      <c r="AC216" s="30"/>
      <c r="AD216" s="30"/>
    </row>
    <row r="217" spans="1:30" ht="18">
      <c r="A217" s="30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30"/>
      <c r="W217" s="30"/>
      <c r="X217" s="30"/>
      <c r="Y217" s="30"/>
      <c r="Z217" s="30"/>
      <c r="AA217" s="30"/>
      <c r="AB217" s="30"/>
      <c r="AC217" s="30"/>
      <c r="AD217" s="30"/>
    </row>
    <row r="218" spans="1:30" ht="18">
      <c r="A218" s="30" t="s">
        <v>243</v>
      </c>
      <c r="B218" s="44" t="e">
        <f aca="true" t="shared" si="81" ref="B218:U218">B210+B216</f>
        <v>#REF!</v>
      </c>
      <c r="C218" s="44" t="e">
        <f t="shared" si="81"/>
        <v>#REF!</v>
      </c>
      <c r="D218" s="44" t="e">
        <f t="shared" si="81"/>
        <v>#REF!</v>
      </c>
      <c r="E218" s="44" t="e">
        <f t="shared" si="81"/>
        <v>#REF!</v>
      </c>
      <c r="F218" s="44" t="e">
        <f t="shared" si="81"/>
        <v>#REF!</v>
      </c>
      <c r="G218" s="44" t="e">
        <f t="shared" si="81"/>
        <v>#REF!</v>
      </c>
      <c r="H218" s="44" t="e">
        <f t="shared" si="81"/>
        <v>#REF!</v>
      </c>
      <c r="I218" s="44" t="e">
        <f t="shared" si="81"/>
        <v>#REF!</v>
      </c>
      <c r="J218" s="44" t="e">
        <f t="shared" si="81"/>
        <v>#REF!</v>
      </c>
      <c r="K218" s="44" t="e">
        <f t="shared" si="81"/>
        <v>#REF!</v>
      </c>
      <c r="L218" s="44" t="e">
        <f t="shared" si="81"/>
        <v>#REF!</v>
      </c>
      <c r="M218" s="44" t="e">
        <f t="shared" si="81"/>
        <v>#REF!</v>
      </c>
      <c r="N218" s="44" t="e">
        <f t="shared" si="81"/>
        <v>#REF!</v>
      </c>
      <c r="O218" s="44" t="e">
        <f t="shared" si="81"/>
        <v>#REF!</v>
      </c>
      <c r="P218" s="44" t="e">
        <f t="shared" si="81"/>
        <v>#REF!</v>
      </c>
      <c r="Q218" s="44" t="e">
        <f t="shared" si="81"/>
        <v>#REF!</v>
      </c>
      <c r="R218" s="44" t="e">
        <f t="shared" si="81"/>
        <v>#REF!</v>
      </c>
      <c r="S218" s="44" t="e">
        <f t="shared" si="81"/>
        <v>#REF!</v>
      </c>
      <c r="T218" s="44" t="e">
        <f t="shared" si="81"/>
        <v>#REF!</v>
      </c>
      <c r="U218" s="44" t="e">
        <f t="shared" si="81"/>
        <v>#REF!</v>
      </c>
      <c r="V218" s="30"/>
      <c r="W218" s="30"/>
      <c r="X218" s="30"/>
      <c r="Y218" s="30"/>
      <c r="Z218" s="30"/>
      <c r="AA218" s="30"/>
      <c r="AB218" s="30"/>
      <c r="AC218" s="30"/>
      <c r="AD218" s="30"/>
    </row>
    <row r="219" spans="1:30" ht="18">
      <c r="A219" s="30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30"/>
      <c r="W219" s="30"/>
      <c r="X219" s="30"/>
      <c r="Y219" s="30"/>
      <c r="Z219" s="30"/>
      <c r="AA219" s="30"/>
      <c r="AB219" s="30"/>
      <c r="AC219" s="30"/>
      <c r="AD219" s="30"/>
    </row>
    <row r="220" spans="1:30" ht="18">
      <c r="A220" s="43" t="s">
        <v>244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</row>
    <row r="221" spans="1:30" ht="18">
      <c r="A221" s="43" t="s">
        <v>245</v>
      </c>
      <c r="B221" s="44" t="e">
        <f>B171+B218</f>
        <v>#REF!</v>
      </c>
      <c r="C221" s="44">
        <f>C171</f>
        <v>616917</v>
      </c>
      <c r="D221" s="44" t="e">
        <f aca="true" t="shared" si="82" ref="D221:U221">D171+D218</f>
        <v>#REF!</v>
      </c>
      <c r="E221" s="44" t="e">
        <f t="shared" si="82"/>
        <v>#REF!</v>
      </c>
      <c r="F221" s="44" t="e">
        <f t="shared" si="82"/>
        <v>#REF!</v>
      </c>
      <c r="G221" s="44" t="e">
        <f t="shared" si="82"/>
        <v>#REF!</v>
      </c>
      <c r="H221" s="44" t="e">
        <f t="shared" si="82"/>
        <v>#REF!</v>
      </c>
      <c r="I221" s="44" t="e">
        <f t="shared" si="82"/>
        <v>#REF!</v>
      </c>
      <c r="J221" s="44" t="e">
        <f t="shared" si="82"/>
        <v>#REF!</v>
      </c>
      <c r="K221" s="44" t="e">
        <f t="shared" si="82"/>
        <v>#REF!</v>
      </c>
      <c r="L221" s="44" t="e">
        <f t="shared" si="82"/>
        <v>#REF!</v>
      </c>
      <c r="M221" s="44" t="e">
        <f t="shared" si="82"/>
        <v>#REF!</v>
      </c>
      <c r="N221" s="44" t="e">
        <f t="shared" si="82"/>
        <v>#REF!</v>
      </c>
      <c r="O221" s="44" t="e">
        <f t="shared" si="82"/>
        <v>#REF!</v>
      </c>
      <c r="P221" s="44" t="e">
        <f t="shared" si="82"/>
        <v>#REF!</v>
      </c>
      <c r="Q221" s="44" t="e">
        <f t="shared" si="82"/>
        <v>#REF!</v>
      </c>
      <c r="R221" s="44" t="e">
        <f t="shared" si="82"/>
        <v>#REF!</v>
      </c>
      <c r="S221" s="44" t="e">
        <f t="shared" si="82"/>
        <v>#REF!</v>
      </c>
      <c r="T221" s="44" t="e">
        <f t="shared" si="82"/>
        <v>#REF!</v>
      </c>
      <c r="U221" s="44" t="e">
        <f t="shared" si="82"/>
        <v>#REF!</v>
      </c>
      <c r="V221" s="30"/>
      <c r="W221" s="30"/>
      <c r="X221" s="30"/>
      <c r="Y221" s="30"/>
      <c r="Z221" s="30"/>
      <c r="AA221" s="30"/>
      <c r="AB221" s="30"/>
      <c r="AC221" s="30"/>
      <c r="AD221" s="30"/>
    </row>
    <row r="222" spans="1:30" ht="18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</row>
    <row r="223" spans="1:30" ht="18">
      <c r="A223" s="43" t="s">
        <v>246</v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</row>
    <row r="224" spans="1:30" ht="18">
      <c r="A224" s="30" t="s">
        <v>247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</row>
    <row r="225" spans="1:30" ht="18">
      <c r="A225" s="30"/>
      <c r="B225" s="39" t="s">
        <v>378</v>
      </c>
      <c r="C225" s="39" t="s">
        <v>379</v>
      </c>
      <c r="D225" s="39" t="s">
        <v>380</v>
      </c>
      <c r="E225" s="39" t="s">
        <v>381</v>
      </c>
      <c r="F225" s="39" t="s">
        <v>351</v>
      </c>
      <c r="G225" s="39" t="s">
        <v>352</v>
      </c>
      <c r="H225" s="39" t="s">
        <v>353</v>
      </c>
      <c r="I225" s="39" t="s">
        <v>354</v>
      </c>
      <c r="J225" s="39" t="s">
        <v>355</v>
      </c>
      <c r="K225" s="39" t="s">
        <v>356</v>
      </c>
      <c r="L225" s="39" t="s">
        <v>357</v>
      </c>
      <c r="M225" s="39" t="s">
        <v>358</v>
      </c>
      <c r="N225" s="39" t="s">
        <v>359</v>
      </c>
      <c r="O225" s="39" t="s">
        <v>360</v>
      </c>
      <c r="P225" s="39" t="s">
        <v>361</v>
      </c>
      <c r="Q225" s="39" t="s">
        <v>362</v>
      </c>
      <c r="R225" s="39" t="s">
        <v>362</v>
      </c>
      <c r="S225" s="39" t="s">
        <v>362</v>
      </c>
      <c r="T225" s="39" t="s">
        <v>362</v>
      </c>
      <c r="U225" s="39" t="s">
        <v>362</v>
      </c>
      <c r="V225" s="30"/>
      <c r="W225" s="30"/>
      <c r="X225" s="30"/>
      <c r="Y225" s="30"/>
      <c r="Z225" s="30"/>
      <c r="AA225" s="30"/>
      <c r="AB225" s="30"/>
      <c r="AC225" s="30"/>
      <c r="AD225" s="30"/>
    </row>
    <row r="226" spans="1:30" ht="18">
      <c r="A226" s="30" t="s">
        <v>248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</row>
    <row r="227" spans="1:30" ht="18">
      <c r="A227" s="30" t="s">
        <v>249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30"/>
      <c r="W227" s="30"/>
      <c r="X227" s="30"/>
      <c r="Y227" s="30"/>
      <c r="Z227" s="30"/>
      <c r="AA227" s="30"/>
      <c r="AB227" s="30"/>
      <c r="AC227" s="30"/>
      <c r="AD227" s="30"/>
    </row>
    <row r="228" spans="1:30" ht="18">
      <c r="A228" s="30" t="s">
        <v>250</v>
      </c>
      <c r="B228" s="44"/>
      <c r="C228" s="44">
        <v>2</v>
      </c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30"/>
      <c r="W228" s="30"/>
      <c r="X228" s="30"/>
      <c r="Y228" s="30"/>
      <c r="Z228" s="30"/>
      <c r="AA228" s="30"/>
      <c r="AB228" s="30"/>
      <c r="AC228" s="30"/>
      <c r="AD228" s="30"/>
    </row>
    <row r="229" spans="1:30" ht="18">
      <c r="A229" s="30" t="s">
        <v>251</v>
      </c>
      <c r="B229" s="44">
        <v>-228</v>
      </c>
      <c r="C229" s="44"/>
      <c r="D229" s="44"/>
      <c r="E229" s="44"/>
      <c r="F229" s="44">
        <v>54</v>
      </c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30"/>
      <c r="W229" s="30"/>
      <c r="X229" s="30"/>
      <c r="Y229" s="30"/>
      <c r="Z229" s="30"/>
      <c r="AA229" s="30"/>
      <c r="AB229" s="30"/>
      <c r="AC229" s="30"/>
      <c r="AD229" s="30"/>
    </row>
    <row r="230" spans="1:30" ht="18">
      <c r="A230" s="30" t="s">
        <v>252</v>
      </c>
      <c r="B230" s="44">
        <v>36</v>
      </c>
      <c r="C230" s="30"/>
      <c r="D230" s="44">
        <v>1974</v>
      </c>
      <c r="E230" s="44">
        <v>50</v>
      </c>
      <c r="F230" s="44">
        <v>2</v>
      </c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30"/>
      <c r="W230" s="30"/>
      <c r="X230" s="30"/>
      <c r="Y230" s="30"/>
      <c r="Z230" s="30"/>
      <c r="AA230" s="30"/>
      <c r="AB230" s="30"/>
      <c r="AC230" s="30"/>
      <c r="AD230" s="30"/>
    </row>
    <row r="231" spans="1:30" ht="18">
      <c r="A231" s="30" t="s">
        <v>253</v>
      </c>
      <c r="B231" s="44"/>
      <c r="C231" s="44">
        <v>-130</v>
      </c>
      <c r="D231" s="44">
        <v>640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30"/>
      <c r="W231" s="30"/>
      <c r="X231" s="30"/>
      <c r="Y231" s="30"/>
      <c r="Z231" s="30"/>
      <c r="AA231" s="30"/>
      <c r="AB231" s="30"/>
      <c r="AC231" s="30"/>
      <c r="AD231" s="30"/>
    </row>
    <row r="232" spans="1:30" ht="18">
      <c r="A232" s="30" t="s">
        <v>254</v>
      </c>
      <c r="B232" s="44">
        <v>4</v>
      </c>
      <c r="C232" s="44">
        <v>-491</v>
      </c>
      <c r="D232" s="44">
        <v>492</v>
      </c>
      <c r="E232" s="44">
        <v>103</v>
      </c>
      <c r="F232" s="44">
        <v>1</v>
      </c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</row>
    <row r="233" spans="1:30" ht="18">
      <c r="A233" s="30" t="s">
        <v>255</v>
      </c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</row>
    <row r="234" spans="1:30" ht="18">
      <c r="A234" s="30" t="s">
        <v>256</v>
      </c>
      <c r="B234" s="44">
        <v>331</v>
      </c>
      <c r="C234" s="44">
        <v>-300</v>
      </c>
      <c r="D234" s="44">
        <v>1225</v>
      </c>
      <c r="E234" s="44">
        <v>8</v>
      </c>
      <c r="F234" s="44">
        <v>113</v>
      </c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</row>
    <row r="235" spans="1:30" ht="18">
      <c r="A235" s="30" t="s">
        <v>257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</row>
    <row r="236" spans="1:30" ht="18">
      <c r="A236" s="30" t="s">
        <v>258</v>
      </c>
      <c r="B236" s="44">
        <v>5</v>
      </c>
      <c r="C236" s="44"/>
      <c r="D236" s="44">
        <v>158</v>
      </c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</row>
    <row r="237" spans="1:30" ht="18">
      <c r="A237" s="30" t="s">
        <v>259</v>
      </c>
      <c r="B237" s="44">
        <v>-423</v>
      </c>
      <c r="C237" s="44">
        <v>190</v>
      </c>
      <c r="D237" s="44">
        <v>-961</v>
      </c>
      <c r="E237" s="44">
        <v>-29</v>
      </c>
      <c r="F237" s="44">
        <v>636</v>
      </c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1:30" ht="18">
      <c r="A238" s="30" t="s">
        <v>260</v>
      </c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</row>
    <row r="239" spans="1:30" ht="18">
      <c r="A239" s="30" t="s">
        <v>261</v>
      </c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</row>
    <row r="240" spans="1:30" ht="18">
      <c r="A240" s="30" t="s">
        <v>262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</row>
    <row r="241" spans="1:30" ht="18">
      <c r="A241" s="30" t="s">
        <v>263</v>
      </c>
      <c r="B241" s="44">
        <v>84</v>
      </c>
      <c r="C241" s="44">
        <v>266</v>
      </c>
      <c r="D241" s="44">
        <v>-47</v>
      </c>
      <c r="E241" s="44">
        <v>-26</v>
      </c>
      <c r="F241" s="44">
        <v>122</v>
      </c>
      <c r="G241" s="44">
        <v>-55.766</v>
      </c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</row>
    <row r="242" spans="1:30" ht="18">
      <c r="A242" s="30" t="s">
        <v>264</v>
      </c>
      <c r="B242" s="44">
        <v>18</v>
      </c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</row>
    <row r="243" spans="1:30" ht="18">
      <c r="A243" s="30" t="s">
        <v>265</v>
      </c>
      <c r="B243" s="44">
        <v>339324</v>
      </c>
      <c r="C243" s="44">
        <v>173</v>
      </c>
      <c r="D243" s="44">
        <v>-211</v>
      </c>
      <c r="E243" s="44">
        <v>1</v>
      </c>
      <c r="F243" s="44">
        <v>91</v>
      </c>
      <c r="G243" s="44">
        <v>0.28562</v>
      </c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</row>
    <row r="244" spans="1:30" ht="18">
      <c r="A244" s="30" t="s">
        <v>266</v>
      </c>
      <c r="B244" s="44">
        <v>138783</v>
      </c>
      <c r="C244" s="44">
        <v>15428</v>
      </c>
      <c r="D244" s="44">
        <v>0</v>
      </c>
      <c r="E244" s="44">
        <v>4</v>
      </c>
      <c r="F244" s="44">
        <v>33</v>
      </c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</row>
    <row r="245" spans="1:30" ht="18">
      <c r="A245" s="30" t="s">
        <v>267</v>
      </c>
      <c r="B245" s="44">
        <v>398843</v>
      </c>
      <c r="C245" s="44">
        <v>620698</v>
      </c>
      <c r="D245" s="44">
        <v>-2108</v>
      </c>
      <c r="E245" s="44">
        <v>97</v>
      </c>
      <c r="F245" s="44">
        <v>-1479</v>
      </c>
      <c r="G245" s="44">
        <v>3.99817</v>
      </c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</row>
    <row r="246" spans="1:30" ht="18">
      <c r="A246" s="30" t="s">
        <v>268</v>
      </c>
      <c r="B246" s="44">
        <v>10673</v>
      </c>
      <c r="C246" s="44">
        <v>257511</v>
      </c>
      <c r="D246" s="44">
        <v>-230</v>
      </c>
      <c r="E246" s="44">
        <v>8</v>
      </c>
      <c r="F246" s="44">
        <v>-121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</row>
    <row r="247" spans="1:30" ht="18">
      <c r="A247" s="30" t="s">
        <v>269</v>
      </c>
      <c r="B247" s="44"/>
      <c r="C247" s="44">
        <v>600207</v>
      </c>
      <c r="D247" s="44">
        <v>454553</v>
      </c>
      <c r="E247" s="44">
        <v>-1316</v>
      </c>
      <c r="F247" s="44">
        <v>-3.388</v>
      </c>
      <c r="G247" s="44">
        <v>-367.42581</v>
      </c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</row>
    <row r="248" spans="1:30" ht="18">
      <c r="A248" s="30" t="s">
        <v>270</v>
      </c>
      <c r="B248" s="44"/>
      <c r="C248" s="44">
        <v>14891</v>
      </c>
      <c r="D248" s="44">
        <v>289037</v>
      </c>
      <c r="E248" s="44">
        <v>43</v>
      </c>
      <c r="F248" s="44">
        <v>-14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</row>
    <row r="249" spans="1:30" ht="18">
      <c r="A249" s="30" t="s">
        <v>271</v>
      </c>
      <c r="B249" s="44"/>
      <c r="C249" s="44"/>
      <c r="D249" s="44">
        <v>362179</v>
      </c>
      <c r="E249" s="44">
        <v>-74116</v>
      </c>
      <c r="F249" s="44">
        <v>-8379.565</v>
      </c>
      <c r="G249" s="44">
        <v>-211.5862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</row>
    <row r="250" spans="1:30" ht="18">
      <c r="A250" s="30" t="s">
        <v>272</v>
      </c>
      <c r="B250" s="44"/>
      <c r="C250" s="44"/>
      <c r="D250" s="44"/>
      <c r="E250" s="44">
        <v>0</v>
      </c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</row>
    <row r="251" spans="1:30" ht="18">
      <c r="A251" s="30" t="s">
        <v>273</v>
      </c>
      <c r="B251" s="44"/>
      <c r="C251" s="44"/>
      <c r="D251" s="44"/>
      <c r="E251" s="44">
        <v>100339</v>
      </c>
      <c r="F251" s="44">
        <v>-72380.59</v>
      </c>
      <c r="G251" s="44">
        <v>-23745.02217</v>
      </c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</row>
    <row r="252" spans="1:30" ht="18">
      <c r="A252" s="30" t="s">
        <v>274</v>
      </c>
      <c r="B252" s="44"/>
      <c r="C252" s="44"/>
      <c r="D252" s="44"/>
      <c r="E252" s="44"/>
      <c r="F252" s="44">
        <f>'Curr Farm Inc'!$F$8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</row>
    <row r="253" spans="1:30" ht="18">
      <c r="A253" s="30" t="s">
        <v>275</v>
      </c>
      <c r="B253" s="44"/>
      <c r="C253" s="44"/>
      <c r="D253" s="44"/>
      <c r="E253" s="44"/>
      <c r="F253" s="44">
        <v>687311</v>
      </c>
      <c r="G253" s="44">
        <v>12037</v>
      </c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</row>
    <row r="254" spans="1:30" ht="18">
      <c r="A254" s="30" t="s">
        <v>276</v>
      </c>
      <c r="B254" s="30"/>
      <c r="C254" s="30"/>
      <c r="D254" s="30"/>
      <c r="E254" s="30"/>
      <c r="F254" s="30"/>
      <c r="G254" s="44">
        <f>'Curr Farm Inc'!$G$8</f>
        <v>0</v>
      </c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</row>
    <row r="255" spans="1:30" ht="18">
      <c r="A255" s="30" t="s">
        <v>277</v>
      </c>
      <c r="B255" s="30"/>
      <c r="C255" s="30"/>
      <c r="D255" s="30"/>
      <c r="E255" s="30"/>
      <c r="F255" s="30"/>
      <c r="G255" s="44">
        <v>593126</v>
      </c>
      <c r="H255" s="44">
        <f>598053-G255</f>
        <v>4927</v>
      </c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</row>
    <row r="256" spans="1:30" ht="18">
      <c r="A256" s="30" t="s">
        <v>278</v>
      </c>
      <c r="B256" s="30"/>
      <c r="C256" s="30"/>
      <c r="D256" s="30"/>
      <c r="E256" s="30"/>
      <c r="F256" s="30"/>
      <c r="G256" s="30"/>
      <c r="H256" s="30" t="e">
        <f>#REF!</f>
        <v>#REF!</v>
      </c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</row>
    <row r="257" spans="1:30" ht="18">
      <c r="A257" s="30" t="s">
        <v>279</v>
      </c>
      <c r="B257" s="30"/>
      <c r="C257" s="30"/>
      <c r="D257" s="30"/>
      <c r="E257" s="30"/>
      <c r="F257" s="30"/>
      <c r="G257" s="30"/>
      <c r="H257" s="44" t="e">
        <f>#REF!</f>
        <v>#REF!</v>
      </c>
      <c r="I257" s="44"/>
      <c r="J257" s="44"/>
      <c r="K257" s="44"/>
      <c r="L257" s="44"/>
      <c r="M257" s="44"/>
      <c r="N257" s="44"/>
      <c r="O257" s="44"/>
      <c r="P257" s="44"/>
      <c r="Q257" s="44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</row>
    <row r="258" spans="1:30" ht="18">
      <c r="A258" s="30" t="s">
        <v>280</v>
      </c>
      <c r="B258" s="30"/>
      <c r="C258" s="30"/>
      <c r="D258" s="30"/>
      <c r="E258" s="30"/>
      <c r="F258" s="30"/>
      <c r="G258" s="30"/>
      <c r="H258" s="30"/>
      <c r="I258" s="30" t="e">
        <f>#REF!</f>
        <v>#REF!</v>
      </c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</row>
    <row r="259" spans="1:30" ht="18">
      <c r="A259" s="30" t="s">
        <v>281</v>
      </c>
      <c r="B259" s="30"/>
      <c r="C259" s="30"/>
      <c r="D259" s="30"/>
      <c r="E259" s="30"/>
      <c r="F259" s="30"/>
      <c r="G259" s="30"/>
      <c r="H259" s="30"/>
      <c r="I259" s="44" t="e">
        <f>#REF!</f>
        <v>#REF!</v>
      </c>
      <c r="J259" s="44"/>
      <c r="K259" s="44"/>
      <c r="L259" s="44"/>
      <c r="M259" s="44"/>
      <c r="N259" s="44"/>
      <c r="O259" s="44"/>
      <c r="P259" s="44"/>
      <c r="Q259" s="44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</row>
    <row r="260" spans="1:30" ht="18">
      <c r="A260" s="30" t="s">
        <v>282</v>
      </c>
      <c r="B260" s="30"/>
      <c r="C260" s="30"/>
      <c r="D260" s="30"/>
      <c r="E260" s="30"/>
      <c r="F260" s="30"/>
      <c r="G260" s="30"/>
      <c r="H260" s="30"/>
      <c r="I260" s="30"/>
      <c r="J260" s="30" t="e">
        <f>#REF!</f>
        <v>#REF!</v>
      </c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</row>
    <row r="261" spans="1:30" ht="18">
      <c r="A261" s="30" t="s">
        <v>283</v>
      </c>
      <c r="B261" s="30"/>
      <c r="C261" s="30"/>
      <c r="D261" s="30"/>
      <c r="E261" s="30"/>
      <c r="F261" s="30"/>
      <c r="G261" s="30"/>
      <c r="H261" s="30"/>
      <c r="I261" s="30"/>
      <c r="J261" s="44" t="e">
        <f>#REF!</f>
        <v>#REF!</v>
      </c>
      <c r="K261" s="44"/>
      <c r="L261" s="44"/>
      <c r="M261" s="44"/>
      <c r="N261" s="44"/>
      <c r="O261" s="44"/>
      <c r="P261" s="44"/>
      <c r="Q261" s="44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</row>
    <row r="262" spans="1:30" ht="18">
      <c r="A262" s="30" t="s">
        <v>284</v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 t="e">
        <f>#REF!</f>
        <v>#REF!</v>
      </c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</row>
    <row r="263" spans="1:30" ht="18">
      <c r="A263" s="30" t="s">
        <v>285</v>
      </c>
      <c r="B263" s="30"/>
      <c r="C263" s="30"/>
      <c r="D263" s="30"/>
      <c r="E263" s="30"/>
      <c r="F263" s="30"/>
      <c r="G263" s="30"/>
      <c r="H263" s="30"/>
      <c r="I263" s="30"/>
      <c r="J263" s="30"/>
      <c r="K263" s="44" t="e">
        <f>#REF!</f>
        <v>#REF!</v>
      </c>
      <c r="L263" s="44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</row>
    <row r="264" spans="1:30" ht="18">
      <c r="A264" s="30" t="s">
        <v>286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 t="e">
        <f>#REF!</f>
        <v>#REF!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</row>
    <row r="265" spans="1:30" ht="18">
      <c r="A265" s="30" t="s">
        <v>287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44" t="e">
        <f>#REF!</f>
        <v>#REF!</v>
      </c>
      <c r="M265" s="44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</row>
    <row r="266" spans="1:30" ht="18">
      <c r="A266" s="30" t="s">
        <v>288</v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>
        <f>'Curr Farm Inc'!$M$8</f>
        <v>205000</v>
      </c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</row>
    <row r="267" spans="1:30" ht="18">
      <c r="A267" s="30" t="s">
        <v>289</v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44" t="e">
        <f>#REF!</f>
        <v>#REF!</v>
      </c>
      <c r="N267" s="44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</row>
    <row r="268" spans="1:30" ht="18">
      <c r="A268" s="30" t="s">
        <v>290</v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>
        <f>'Curr Farm Inc'!$N$8</f>
        <v>13000</v>
      </c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</row>
    <row r="269" spans="1:30" ht="18">
      <c r="A269" s="30" t="s">
        <v>291</v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44" t="e">
        <f>#REF!</f>
        <v>#REF!</v>
      </c>
      <c r="O269" s="44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</row>
    <row r="270" spans="1:30" ht="18">
      <c r="A270" s="30" t="s">
        <v>292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>
        <f>'Curr Farm Inc'!$O$8</f>
        <v>387000</v>
      </c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</row>
    <row r="271" spans="1:30" ht="18">
      <c r="A271" s="30" t="s">
        <v>293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44" t="e">
        <f>#REF!</f>
        <v>#REF!</v>
      </c>
      <c r="P271" s="44"/>
      <c r="Q271" s="44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</row>
    <row r="272" spans="1:30" ht="18">
      <c r="A272" s="30" t="s">
        <v>294</v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>
        <f>'Curr Farm Inc'!$P$8</f>
        <v>250000</v>
      </c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</row>
    <row r="273" spans="1:30" ht="18">
      <c r="A273" s="30" t="s">
        <v>295</v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44" t="e">
        <f>#REF!</f>
        <v>#REF!</v>
      </c>
      <c r="Q273" s="44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</row>
    <row r="274" spans="1:30" ht="18">
      <c r="A274" s="30" t="s">
        <v>296</v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 t="e">
        <f>'Curr Farm Inc'!$Q$8</f>
        <v>#REF!</v>
      </c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</row>
    <row r="275" spans="1:30" ht="18">
      <c r="A275" s="30" t="s">
        <v>382</v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44" t="e">
        <f>#REF!</f>
        <v>#REF!</v>
      </c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</row>
    <row r="276" spans="1:30" ht="18">
      <c r="A276" s="30" t="s">
        <v>383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 t="e">
        <f>'Curr Farm Inc'!$R$8</f>
        <v>#REF!</v>
      </c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</row>
    <row r="277" spans="1:30" ht="18">
      <c r="A277" s="30" t="s">
        <v>384</v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44" t="e">
        <f>#REF!</f>
        <v>#REF!</v>
      </c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</row>
    <row r="278" spans="1:30" ht="18">
      <c r="A278" s="30" t="s">
        <v>385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 t="e">
        <f>'Curr Farm Inc'!$S$8</f>
        <v>#REF!</v>
      </c>
      <c r="T278" s="30" t="e">
        <f>'Curr Farm Inc'!$T$8</f>
        <v>#REF!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</row>
    <row r="279" spans="1:30" ht="18">
      <c r="A279" s="30" t="s">
        <v>297</v>
      </c>
      <c r="B279" s="44">
        <v>140293</v>
      </c>
      <c r="C279" s="44">
        <v>113594</v>
      </c>
      <c r="D279" s="44">
        <v>148635</v>
      </c>
      <c r="E279" s="44">
        <v>88014</v>
      </c>
      <c r="F279" s="44">
        <f>'Curr Farm Inc'!$F$17</f>
        <v>34111</v>
      </c>
      <c r="G279" s="44" t="e">
        <f>#REF!</f>
        <v>#REF!</v>
      </c>
      <c r="H279" s="44" t="e">
        <f>#REF!</f>
        <v>#REF!</v>
      </c>
      <c r="I279" s="44" t="e">
        <f>#REF!</f>
        <v>#REF!</v>
      </c>
      <c r="J279" s="44" t="e">
        <f>#REF!</f>
        <v>#REF!</v>
      </c>
      <c r="K279" s="44" t="e">
        <f>#REF!</f>
        <v>#REF!</v>
      </c>
      <c r="L279" s="44" t="e">
        <f>#REF!</f>
        <v>#REF!</v>
      </c>
      <c r="M279" s="44" t="e">
        <f>#REF!</f>
        <v>#REF!</v>
      </c>
      <c r="N279" s="44" t="e">
        <f>#REF!</f>
        <v>#REF!</v>
      </c>
      <c r="O279" s="44" t="e">
        <f>#REF!</f>
        <v>#REF!</v>
      </c>
      <c r="P279" s="44" t="e">
        <f>#REF!</f>
        <v>#REF!</v>
      </c>
      <c r="Q279" s="44" t="e">
        <f>#REF!</f>
        <v>#REF!</v>
      </c>
      <c r="R279" s="44" t="e">
        <f>#REF!</f>
        <v>#REF!</v>
      </c>
      <c r="S279" s="44" t="e">
        <f>#REF!</f>
        <v>#REF!</v>
      </c>
      <c r="T279" s="44" t="e">
        <f>#REF!</f>
        <v>#REF!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</row>
    <row r="280" spans="1:30" ht="18">
      <c r="A280" s="43" t="s">
        <v>298</v>
      </c>
      <c r="B280" s="44">
        <f aca="true" t="shared" si="83" ref="B280:T280">SUM(B227:B279)</f>
        <v>1027743</v>
      </c>
      <c r="C280" s="44">
        <f t="shared" si="83"/>
        <v>1622039</v>
      </c>
      <c r="D280" s="44">
        <f t="shared" si="83"/>
        <v>1255336</v>
      </c>
      <c r="E280" s="44">
        <f t="shared" si="83"/>
        <v>113180</v>
      </c>
      <c r="F280" s="44">
        <f t="shared" si="83"/>
        <v>640096.4569999999</v>
      </c>
      <c r="G280" s="44" t="e">
        <f t="shared" si="83"/>
        <v>#REF!</v>
      </c>
      <c r="H280" s="44" t="e">
        <f t="shared" si="83"/>
        <v>#REF!</v>
      </c>
      <c r="I280" s="44" t="e">
        <f t="shared" si="83"/>
        <v>#REF!</v>
      </c>
      <c r="J280" s="44" t="e">
        <f t="shared" si="83"/>
        <v>#REF!</v>
      </c>
      <c r="K280" s="44" t="e">
        <f t="shared" si="83"/>
        <v>#REF!</v>
      </c>
      <c r="L280" s="44" t="e">
        <f t="shared" si="83"/>
        <v>#REF!</v>
      </c>
      <c r="M280" s="44" t="e">
        <f t="shared" si="83"/>
        <v>#REF!</v>
      </c>
      <c r="N280" s="44" t="e">
        <f t="shared" si="83"/>
        <v>#REF!</v>
      </c>
      <c r="O280" s="44" t="e">
        <f t="shared" si="83"/>
        <v>#REF!</v>
      </c>
      <c r="P280" s="44" t="e">
        <f t="shared" si="83"/>
        <v>#REF!</v>
      </c>
      <c r="Q280" s="44" t="e">
        <f t="shared" si="83"/>
        <v>#REF!</v>
      </c>
      <c r="R280" s="44" t="e">
        <f t="shared" si="83"/>
        <v>#REF!</v>
      </c>
      <c r="S280" s="44" t="e">
        <f t="shared" si="83"/>
        <v>#REF!</v>
      </c>
      <c r="T280" s="44" t="e">
        <f t="shared" si="83"/>
        <v>#REF!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</row>
    <row r="281" spans="1:30" ht="18">
      <c r="A281" s="30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</row>
    <row r="282" spans="1:30" ht="18">
      <c r="A282" s="30" t="s">
        <v>299</v>
      </c>
      <c r="B282" s="44">
        <f aca="true" t="shared" si="84" ref="B282:T282">B171</f>
        <v>414732</v>
      </c>
      <c r="C282" s="44">
        <f t="shared" si="84"/>
        <v>616917</v>
      </c>
      <c r="D282" s="44">
        <f t="shared" si="84"/>
        <v>249891</v>
      </c>
      <c r="E282" s="44">
        <f t="shared" si="84"/>
        <v>-10701</v>
      </c>
      <c r="F282" s="44">
        <f t="shared" si="84"/>
        <v>45425</v>
      </c>
      <c r="G282" s="44">
        <f t="shared" si="84"/>
        <v>16497.490910592023</v>
      </c>
      <c r="H282" s="44" t="e">
        <f t="shared" si="84"/>
        <v>#REF!</v>
      </c>
      <c r="I282" s="44" t="e">
        <f t="shared" si="84"/>
        <v>#REF!</v>
      </c>
      <c r="J282" s="44" t="e">
        <f t="shared" si="84"/>
        <v>#REF!</v>
      </c>
      <c r="K282" s="44">
        <f t="shared" si="84"/>
        <v>277188.74399999995</v>
      </c>
      <c r="L282" s="44">
        <f t="shared" si="84"/>
        <v>713759.0460000003</v>
      </c>
      <c r="M282" s="44" t="e">
        <f t="shared" si="84"/>
        <v>#REF!</v>
      </c>
      <c r="N282" s="44" t="e">
        <f t="shared" si="84"/>
        <v>#REF!</v>
      </c>
      <c r="O282" s="44" t="e">
        <f t="shared" si="84"/>
        <v>#REF!</v>
      </c>
      <c r="P282" s="44" t="e">
        <f t="shared" si="84"/>
        <v>#REF!</v>
      </c>
      <c r="Q282" s="44" t="e">
        <f t="shared" si="84"/>
        <v>#REF!</v>
      </c>
      <c r="R282" s="44" t="e">
        <f t="shared" si="84"/>
        <v>#REF!</v>
      </c>
      <c r="S282" s="44" t="e">
        <f t="shared" si="84"/>
        <v>#REF!</v>
      </c>
      <c r="T282" s="44" t="e">
        <f t="shared" si="84"/>
        <v>#REF!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</row>
    <row r="283" spans="1:30" ht="18">
      <c r="A283" s="30" t="s">
        <v>300</v>
      </c>
      <c r="B283" s="44">
        <v>0</v>
      </c>
      <c r="C283" s="44">
        <v>0</v>
      </c>
      <c r="D283" s="44">
        <v>31408</v>
      </c>
      <c r="E283" s="44">
        <v>14</v>
      </c>
      <c r="F283" s="44">
        <v>4</v>
      </c>
      <c r="G283" s="44" t="e">
        <f aca="true" t="shared" si="85" ref="G283:T283">G210</f>
        <v>#REF!</v>
      </c>
      <c r="H283" s="44" t="e">
        <f t="shared" si="85"/>
        <v>#REF!</v>
      </c>
      <c r="I283" s="44" t="e">
        <f t="shared" si="85"/>
        <v>#REF!</v>
      </c>
      <c r="J283" s="44" t="e">
        <f t="shared" si="85"/>
        <v>#REF!</v>
      </c>
      <c r="K283" s="44" t="e">
        <f t="shared" si="85"/>
        <v>#REF!</v>
      </c>
      <c r="L283" s="44" t="e">
        <f t="shared" si="85"/>
        <v>#REF!</v>
      </c>
      <c r="M283" s="44" t="e">
        <f t="shared" si="85"/>
        <v>#REF!</v>
      </c>
      <c r="N283" s="44" t="e">
        <f t="shared" si="85"/>
        <v>#REF!</v>
      </c>
      <c r="O283" s="44" t="e">
        <f t="shared" si="85"/>
        <v>#REF!</v>
      </c>
      <c r="P283" s="44" t="e">
        <f t="shared" si="85"/>
        <v>#REF!</v>
      </c>
      <c r="Q283" s="44" t="e">
        <f t="shared" si="85"/>
        <v>#REF!</v>
      </c>
      <c r="R283" s="44" t="e">
        <f t="shared" si="85"/>
        <v>#REF!</v>
      </c>
      <c r="S283" s="44" t="e">
        <f t="shared" si="85"/>
        <v>#REF!</v>
      </c>
      <c r="T283" s="44" t="e">
        <f t="shared" si="85"/>
        <v>#REF!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</row>
    <row r="284" spans="1:30" ht="18">
      <c r="A284" s="30" t="s">
        <v>301</v>
      </c>
      <c r="B284" s="44">
        <v>50</v>
      </c>
      <c r="C284" s="44">
        <v>720</v>
      </c>
      <c r="D284" s="44">
        <v>4377</v>
      </c>
      <c r="E284" s="44">
        <v>674</v>
      </c>
      <c r="F284" s="44">
        <v>1</v>
      </c>
      <c r="G284" s="44">
        <f aca="true" t="shared" si="86" ref="G284:T284">G216</f>
        <v>0</v>
      </c>
      <c r="H284" s="44">
        <f t="shared" si="86"/>
        <v>0</v>
      </c>
      <c r="I284" s="44">
        <f t="shared" si="86"/>
        <v>0</v>
      </c>
      <c r="J284" s="44">
        <f t="shared" si="86"/>
        <v>0</v>
      </c>
      <c r="K284" s="44">
        <f t="shared" si="86"/>
        <v>0</v>
      </c>
      <c r="L284" s="44">
        <f t="shared" si="86"/>
        <v>0</v>
      </c>
      <c r="M284" s="44">
        <f t="shared" si="86"/>
        <v>0</v>
      </c>
      <c r="N284" s="44">
        <f t="shared" si="86"/>
        <v>0</v>
      </c>
      <c r="O284" s="44">
        <f t="shared" si="86"/>
        <v>0</v>
      </c>
      <c r="P284" s="44">
        <f t="shared" si="86"/>
        <v>0</v>
      </c>
      <c r="Q284" s="44">
        <f t="shared" si="86"/>
        <v>0</v>
      </c>
      <c r="R284" s="44">
        <f t="shared" si="86"/>
        <v>0</v>
      </c>
      <c r="S284" s="44">
        <f t="shared" si="86"/>
        <v>0</v>
      </c>
      <c r="T284" s="44">
        <f t="shared" si="86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</row>
    <row r="285" spans="1:30" ht="18">
      <c r="A285" s="30" t="s">
        <v>302</v>
      </c>
      <c r="B285" s="44">
        <v>-9</v>
      </c>
      <c r="C285" s="44">
        <v>-888</v>
      </c>
      <c r="D285" s="44">
        <v>-2035</v>
      </c>
      <c r="E285" s="44">
        <v>-4249</v>
      </c>
      <c r="F285" s="44">
        <v>-92</v>
      </c>
      <c r="G285" s="44">
        <f aca="true" t="shared" si="87" ref="G285:T285">ROUND(-G160*4.8*G53*0.9,0)</f>
        <v>0</v>
      </c>
      <c r="H285" s="44">
        <f t="shared" si="87"/>
        <v>0</v>
      </c>
      <c r="I285" s="44">
        <f t="shared" si="87"/>
        <v>0</v>
      </c>
      <c r="J285" s="44">
        <f t="shared" si="87"/>
        <v>0</v>
      </c>
      <c r="K285" s="44">
        <f t="shared" si="87"/>
        <v>0</v>
      </c>
      <c r="L285" s="44">
        <f t="shared" si="87"/>
        <v>0</v>
      </c>
      <c r="M285" s="44">
        <f t="shared" si="87"/>
        <v>0</v>
      </c>
      <c r="N285" s="44">
        <f t="shared" si="87"/>
        <v>0</v>
      </c>
      <c r="O285" s="44">
        <f t="shared" si="87"/>
        <v>0</v>
      </c>
      <c r="P285" s="44">
        <f t="shared" si="87"/>
        <v>0</v>
      </c>
      <c r="Q285" s="44">
        <f t="shared" si="87"/>
        <v>0</v>
      </c>
      <c r="R285" s="44">
        <f t="shared" si="87"/>
        <v>0</v>
      </c>
      <c r="S285" s="44">
        <f t="shared" si="87"/>
        <v>0</v>
      </c>
      <c r="T285" s="44">
        <f t="shared" si="87"/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</row>
    <row r="286" spans="1:30" ht="18">
      <c r="A286" s="30" t="s">
        <v>303</v>
      </c>
      <c r="B286" s="44">
        <v>13</v>
      </c>
      <c r="C286" s="44">
        <v>26</v>
      </c>
      <c r="D286" s="44">
        <v>-271</v>
      </c>
      <c r="E286" s="44">
        <v>-184</v>
      </c>
      <c r="F286" s="44">
        <v>-696</v>
      </c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</row>
    <row r="287" spans="1:30" ht="18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</row>
    <row r="288" spans="1:30" ht="18">
      <c r="A288" s="43" t="s">
        <v>304</v>
      </c>
      <c r="B288" s="44">
        <f aca="true" t="shared" si="88" ref="B288:T288">SUM(B282:B286)</f>
        <v>414786</v>
      </c>
      <c r="C288" s="44">
        <f t="shared" si="88"/>
        <v>616775</v>
      </c>
      <c r="D288" s="44">
        <f t="shared" si="88"/>
        <v>283370</v>
      </c>
      <c r="E288" s="44">
        <f t="shared" si="88"/>
        <v>-14446</v>
      </c>
      <c r="F288" s="44">
        <f t="shared" si="88"/>
        <v>44642</v>
      </c>
      <c r="G288" s="44" t="e">
        <f t="shared" si="88"/>
        <v>#REF!</v>
      </c>
      <c r="H288" s="44" t="e">
        <f t="shared" si="88"/>
        <v>#REF!</v>
      </c>
      <c r="I288" s="44" t="e">
        <f t="shared" si="88"/>
        <v>#REF!</v>
      </c>
      <c r="J288" s="44" t="e">
        <f t="shared" si="88"/>
        <v>#REF!</v>
      </c>
      <c r="K288" s="44" t="e">
        <f t="shared" si="88"/>
        <v>#REF!</v>
      </c>
      <c r="L288" s="44" t="e">
        <f t="shared" si="88"/>
        <v>#REF!</v>
      </c>
      <c r="M288" s="44" t="e">
        <f t="shared" si="88"/>
        <v>#REF!</v>
      </c>
      <c r="N288" s="44" t="e">
        <f t="shared" si="88"/>
        <v>#REF!</v>
      </c>
      <c r="O288" s="44" t="e">
        <f t="shared" si="88"/>
        <v>#REF!</v>
      </c>
      <c r="P288" s="44" t="e">
        <f t="shared" si="88"/>
        <v>#REF!</v>
      </c>
      <c r="Q288" s="44" t="e">
        <f t="shared" si="88"/>
        <v>#REF!</v>
      </c>
      <c r="R288" s="44" t="e">
        <f t="shared" si="88"/>
        <v>#REF!</v>
      </c>
      <c r="S288" s="44" t="e">
        <f t="shared" si="88"/>
        <v>#REF!</v>
      </c>
      <c r="T288" s="44" t="e">
        <f t="shared" si="88"/>
        <v>#REF!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</row>
    <row r="289" spans="1:30" ht="18">
      <c r="A289" s="30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</row>
    <row r="290" spans="1:30" ht="18">
      <c r="A290" s="68" t="s">
        <v>305</v>
      </c>
      <c r="B290" s="44">
        <f aca="true" t="shared" si="89" ref="B290:T290">B280+B288</f>
        <v>1442529</v>
      </c>
      <c r="C290" s="44">
        <f t="shared" si="89"/>
        <v>2238814</v>
      </c>
      <c r="D290" s="44">
        <f t="shared" si="89"/>
        <v>1538706</v>
      </c>
      <c r="E290" s="44">
        <f t="shared" si="89"/>
        <v>98734</v>
      </c>
      <c r="F290" s="44">
        <f t="shared" si="89"/>
        <v>684738.4569999999</v>
      </c>
      <c r="G290" s="44" t="e">
        <f t="shared" si="89"/>
        <v>#REF!</v>
      </c>
      <c r="H290" s="44" t="e">
        <f t="shared" si="89"/>
        <v>#REF!</v>
      </c>
      <c r="I290" s="44" t="e">
        <f t="shared" si="89"/>
        <v>#REF!</v>
      </c>
      <c r="J290" s="44" t="e">
        <f t="shared" si="89"/>
        <v>#REF!</v>
      </c>
      <c r="K290" s="44" t="e">
        <f t="shared" si="89"/>
        <v>#REF!</v>
      </c>
      <c r="L290" s="44" t="e">
        <f t="shared" si="89"/>
        <v>#REF!</v>
      </c>
      <c r="M290" s="44" t="e">
        <f t="shared" si="89"/>
        <v>#REF!</v>
      </c>
      <c r="N290" s="44" t="e">
        <f t="shared" si="89"/>
        <v>#REF!</v>
      </c>
      <c r="O290" s="44" t="e">
        <f t="shared" si="89"/>
        <v>#REF!</v>
      </c>
      <c r="P290" s="44" t="e">
        <f t="shared" si="89"/>
        <v>#REF!</v>
      </c>
      <c r="Q290" s="44" t="e">
        <f t="shared" si="89"/>
        <v>#REF!</v>
      </c>
      <c r="R290" s="44" t="e">
        <f t="shared" si="89"/>
        <v>#REF!</v>
      </c>
      <c r="S290" s="44" t="e">
        <f t="shared" si="89"/>
        <v>#REF!</v>
      </c>
      <c r="T290" s="44" t="e">
        <f t="shared" si="89"/>
        <v>#REF!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</row>
  </sheetData>
  <printOptions/>
  <pageMargins left="0.6" right="0.425" top="0.75" bottom="0.75" header="0.5" footer="0.5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showOutlineSymbols="0" zoomScale="87" zoomScaleNormal="87" workbookViewId="0" topLeftCell="N1">
      <selection activeCell="R11" sqref="R11"/>
    </sheetView>
  </sheetViews>
  <sheetFormatPr defaultColWidth="8.75" defaultRowHeight="18"/>
  <cols>
    <col min="1" max="1" width="28.75" style="74" customWidth="1"/>
    <col min="2" max="11" width="10.75" style="74" customWidth="1"/>
    <col min="12" max="12" width="12.75" style="74" customWidth="1"/>
    <col min="13" max="15" width="10.75" style="74" customWidth="1"/>
    <col min="16" max="16" width="12.75" style="74" customWidth="1"/>
    <col min="17" max="17" width="10.75" style="74" customWidth="1"/>
    <col min="18" max="22" width="11.75" style="74" customWidth="1"/>
    <col min="23" max="16384" width="8.75" style="74" customWidth="1"/>
  </cols>
  <sheetData>
    <row r="1" spans="1:23" ht="19.5">
      <c r="A1" s="69" t="s">
        <v>386</v>
      </c>
      <c r="B1" s="69"/>
      <c r="C1" s="69"/>
      <c r="D1" s="69"/>
      <c r="E1" s="69"/>
      <c r="F1" s="69"/>
      <c r="G1" s="70"/>
      <c r="H1" s="71" t="s">
        <v>387</v>
      </c>
      <c r="I1" s="70"/>
      <c r="J1" s="69"/>
      <c r="K1" s="72"/>
      <c r="L1" s="69"/>
      <c r="M1" s="69"/>
      <c r="N1" s="73" t="s">
        <v>306</v>
      </c>
      <c r="O1" s="73"/>
      <c r="P1" s="70"/>
      <c r="Q1" s="69"/>
      <c r="R1" s="69"/>
      <c r="S1" s="69"/>
      <c r="T1" s="69"/>
      <c r="U1" s="69"/>
      <c r="V1" s="69"/>
      <c r="W1" s="69"/>
    </row>
    <row r="2" spans="1:23" ht="18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">
      <c r="A3" s="75"/>
      <c r="B3" s="76" t="s">
        <v>307</v>
      </c>
      <c r="C3" s="76" t="s">
        <v>308</v>
      </c>
      <c r="D3" s="76" t="s">
        <v>309</v>
      </c>
      <c r="E3" s="76" t="s">
        <v>310</v>
      </c>
      <c r="F3" s="76" t="s">
        <v>311</v>
      </c>
      <c r="G3" s="76" t="s">
        <v>312</v>
      </c>
      <c r="H3" s="76" t="s">
        <v>313</v>
      </c>
      <c r="I3" s="76" t="s">
        <v>314</v>
      </c>
      <c r="J3" s="76" t="s">
        <v>315</v>
      </c>
      <c r="K3" s="76" t="s">
        <v>316</v>
      </c>
      <c r="L3" s="76" t="s">
        <v>317</v>
      </c>
      <c r="M3" s="76" t="s">
        <v>318</v>
      </c>
      <c r="N3" s="76" t="s">
        <v>319</v>
      </c>
      <c r="O3" s="76" t="s">
        <v>320</v>
      </c>
      <c r="P3" s="76" t="s">
        <v>321</v>
      </c>
      <c r="Q3" s="76" t="s">
        <v>322</v>
      </c>
      <c r="R3" s="76" t="s">
        <v>323</v>
      </c>
      <c r="S3" s="77" t="s">
        <v>324</v>
      </c>
      <c r="T3" s="77" t="s">
        <v>325</v>
      </c>
      <c r="U3" s="77" t="s">
        <v>326</v>
      </c>
      <c r="V3" s="77" t="s">
        <v>327</v>
      </c>
      <c r="W3" s="69"/>
    </row>
    <row r="4" spans="1:23" ht="18">
      <c r="A4" s="78" t="s">
        <v>114</v>
      </c>
      <c r="B4" s="79"/>
      <c r="C4" s="79"/>
      <c r="D4" s="79"/>
      <c r="E4" s="69"/>
      <c r="F4" s="79"/>
      <c r="G4" s="79"/>
      <c r="H4" s="79"/>
      <c r="I4" s="79"/>
      <c r="J4" s="79"/>
      <c r="K4" s="79" t="s">
        <v>48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69"/>
    </row>
    <row r="5" spans="1:23" ht="18">
      <c r="A5" s="80" t="s">
        <v>388</v>
      </c>
      <c r="B5" s="79" t="e">
        <f>'Hist S and D'!#REF!+SUM(Upland!$B$243:$G$243)</f>
        <v>#REF!</v>
      </c>
      <c r="C5" s="79">
        <f>SUM(Upland!$B$245:$G$245)</f>
        <v>1016054.99817</v>
      </c>
      <c r="D5" s="79">
        <f>SUM(Upland!$B$247:$G$247)</f>
        <v>1053073.18619</v>
      </c>
      <c r="E5" s="79">
        <f>SUM(Upland!$C$249:$G$249)</f>
        <v>279471.8488</v>
      </c>
      <c r="F5" s="79">
        <v>3000</v>
      </c>
      <c r="G5" s="79">
        <v>699115</v>
      </c>
      <c r="H5" s="79">
        <v>597097</v>
      </c>
      <c r="I5" s="79">
        <v>637187</v>
      </c>
      <c r="J5" s="79">
        <v>613725</v>
      </c>
      <c r="K5" s="79">
        <v>575000</v>
      </c>
      <c r="L5" s="79">
        <v>474000</v>
      </c>
      <c r="M5" s="79">
        <v>619000</v>
      </c>
      <c r="N5" s="79">
        <v>615000</v>
      </c>
      <c r="O5" s="79">
        <v>615000</v>
      </c>
      <c r="P5" s="79">
        <v>615000</v>
      </c>
      <c r="Q5" s="79">
        <v>615000</v>
      </c>
      <c r="R5" s="79">
        <v>624000</v>
      </c>
      <c r="S5" s="79">
        <v>624000</v>
      </c>
      <c r="T5" s="79">
        <v>624000</v>
      </c>
      <c r="U5" s="79">
        <v>624000</v>
      </c>
      <c r="V5" s="79">
        <v>624000</v>
      </c>
      <c r="W5" s="69"/>
    </row>
    <row r="6" spans="1:23" ht="18">
      <c r="A6" s="80" t="s">
        <v>389</v>
      </c>
      <c r="B6" s="79"/>
      <c r="C6" s="79"/>
      <c r="D6" s="79"/>
      <c r="E6" s="79"/>
      <c r="F6" s="79"/>
      <c r="G6" s="79">
        <v>0</v>
      </c>
      <c r="H6" s="69"/>
      <c r="I6" s="79">
        <v>316000</v>
      </c>
      <c r="J6" s="79">
        <v>613000</v>
      </c>
      <c r="K6" s="79">
        <v>612000</v>
      </c>
      <c r="L6" s="79">
        <v>524000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69"/>
    </row>
    <row r="7" spans="1:23" ht="18">
      <c r="A7" s="80" t="s">
        <v>390</v>
      </c>
      <c r="B7" s="79"/>
      <c r="C7" s="79"/>
      <c r="D7" s="79"/>
      <c r="E7" s="79"/>
      <c r="F7" s="79"/>
      <c r="G7" s="79"/>
      <c r="H7" s="69"/>
      <c r="I7" s="79"/>
      <c r="J7" s="79"/>
      <c r="K7" s="79"/>
      <c r="L7" s="79"/>
      <c r="M7" s="79">
        <v>1312000</v>
      </c>
      <c r="N7" s="79">
        <v>400000</v>
      </c>
      <c r="O7" s="79">
        <v>1300000</v>
      </c>
      <c r="P7" s="79">
        <v>1300000</v>
      </c>
      <c r="Q7" s="79">
        <f>ROUND(Upland!$Q$7*Upland!$Q$21*0.85*Upland!$Q$45/100*0.95,-3)</f>
        <v>1293000</v>
      </c>
      <c r="R7" s="79">
        <f>ROUND(Upland!$R$7*Upland!$R$21*0.85*Upland!$R$45/100*0.95,-3)</f>
        <v>600000</v>
      </c>
      <c r="S7" s="79">
        <f>ROUND(Upland!$S$7*Upland!$S$21*0.85*Upland!$S$45/100*0.95,-3)</f>
        <v>1174000</v>
      </c>
      <c r="T7" s="79">
        <f>ROUND(Upland!$T$7*Upland!$T$21*0.85*Upland!$T$45/100*0.95,-3)</f>
        <v>1218000</v>
      </c>
      <c r="U7" s="79">
        <f>ROUND(Upland!$U$7*Upland!$U$21*0.85*Upland!$U$45/100*0.95,-3)</f>
        <v>927000</v>
      </c>
      <c r="V7" s="79">
        <f>ROUND(Upland!$V$7*Upland!$V$21*0.85*Upland!$V$45/100*0.95,-3)</f>
        <v>443000</v>
      </c>
      <c r="W7" s="69"/>
    </row>
    <row r="8" spans="1:23" ht="18">
      <c r="A8" s="80" t="s">
        <v>121</v>
      </c>
      <c r="B8" s="79" t="e">
        <f>'Hist S and D'!#REF!+SUM(Upland!$B$244:$F$244)</f>
        <v>#REF!</v>
      </c>
      <c r="C8" s="79">
        <f>SUM(Upland!$B$246:$F$246)</f>
        <v>267841</v>
      </c>
      <c r="D8" s="79">
        <f>SUM(Upland!$B$248:$F$248)</f>
        <v>303957</v>
      </c>
      <c r="E8" s="79">
        <f>SUM(Upland!$C$250:$F$250)</f>
        <v>0</v>
      </c>
      <c r="F8" s="79">
        <f>ROUND((Upland!$F$119*480*((Upland!$F$49-Upland!$F$51)/100)),-3)</f>
        <v>0</v>
      </c>
      <c r="G8" s="79">
        <f>ROUND((Upland!$G$119*480*((Upland!$G$49-Upland!$G$51)/100)),-3)</f>
        <v>0</v>
      </c>
      <c r="H8" s="79">
        <v>2747</v>
      </c>
      <c r="I8" s="79">
        <v>304000</v>
      </c>
      <c r="J8" s="79">
        <v>685000</v>
      </c>
      <c r="K8" s="79">
        <v>152000</v>
      </c>
      <c r="L8" s="79">
        <v>744000</v>
      </c>
      <c r="M8" s="79">
        <v>205000</v>
      </c>
      <c r="N8" s="79">
        <v>13000</v>
      </c>
      <c r="O8" s="79">
        <v>387000</v>
      </c>
      <c r="P8" s="79">
        <v>250000</v>
      </c>
      <c r="Q8" s="79" t="e">
        <f>ROUND(0.4*0.95*Upland!$Q$25*480*(Upland!$Q$49-Upland!$Q$51)/100,-2)</f>
        <v>#REF!</v>
      </c>
      <c r="R8" s="79" t="e">
        <f>ROUND(0.4*0.95*Upland!$R$25*480*(Upland!$R$49-Upland!$R$51)/100,-2)</f>
        <v>#REF!</v>
      </c>
      <c r="S8" s="79" t="e">
        <f>ROUND(0.4*0.95*Upland!$S$25*480*(Upland!$S$49-Upland!$S$51)/100,-2)</f>
        <v>#REF!</v>
      </c>
      <c r="T8" s="79" t="e">
        <f>ROUND(0.4*0.95*Upland!$T$25*480*(Upland!$T$49-Upland!$T$51)/100,-2)</f>
        <v>#REF!</v>
      </c>
      <c r="U8" s="79" t="e">
        <f>ROUND(0.4*0.95*Upland!$U$25*480*(Upland!$U$49-Upland!$U$51)/100,-2)</f>
        <v>#REF!</v>
      </c>
      <c r="V8" s="79" t="e">
        <f>ROUND(0.4*0.95*Upland!$V$25*480*(Upland!$V$49-Upland!$V$51)/100,-2)</f>
        <v>#REF!</v>
      </c>
      <c r="W8" s="69"/>
    </row>
    <row r="9" spans="1:23" ht="18">
      <c r="A9" s="80" t="s">
        <v>122</v>
      </c>
      <c r="B9" s="79">
        <v>93309</v>
      </c>
      <c r="C9" s="79">
        <v>134119</v>
      </c>
      <c r="D9" s="79">
        <v>162973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69"/>
    </row>
    <row r="10" spans="1:23" ht="18">
      <c r="A10" s="80" t="s">
        <v>126</v>
      </c>
      <c r="B10" s="79">
        <v>4728498</v>
      </c>
      <c r="C10" s="79">
        <v>4081657</v>
      </c>
      <c r="D10" s="79">
        <v>4366534</v>
      </c>
      <c r="E10" s="79">
        <v>6630582</v>
      </c>
      <c r="F10" s="79">
        <v>6358184</v>
      </c>
      <c r="G10" s="79" t="e">
        <f>ROUND(((Upland!$G$25*480*Upland!$G$53/100)),-3)</f>
        <v>#REF!</v>
      </c>
      <c r="H10" s="79">
        <v>5708940</v>
      </c>
      <c r="I10" s="79">
        <v>3923827</v>
      </c>
      <c r="J10" s="79">
        <v>3533825</v>
      </c>
      <c r="K10" s="79">
        <v>4073161</v>
      </c>
      <c r="L10" s="79">
        <v>3080414</v>
      </c>
      <c r="M10" s="79">
        <v>3497123</v>
      </c>
      <c r="N10" s="79">
        <v>5266078</v>
      </c>
      <c r="O10" s="79" t="e">
        <f>ROUND(((Upland!$O$25*480*Upland!$O$53/100)),-3)</f>
        <v>#REF!</v>
      </c>
      <c r="P10" s="79" t="e">
        <f>ROUND(((Upland!$P$25*480*Upland!$P$53/100)),-3)</f>
        <v>#REF!</v>
      </c>
      <c r="Q10" s="79" t="e">
        <f>ROUND(((Upland!$Q$25*480*Upland!$Q$53/100)),-3)</f>
        <v>#REF!</v>
      </c>
      <c r="R10" s="79" t="e">
        <f>ROUND(((Upland!$R$25*480*Upland!$R$53/100)),-3)</f>
        <v>#REF!</v>
      </c>
      <c r="S10" s="79" t="e">
        <f>ROUND(((Upland!$S$25*480*Upland!$S$53/100)),-3)</f>
        <v>#REF!</v>
      </c>
      <c r="T10" s="79">
        <f>ROUND(((Upland!$T$25*480*Upland!$T$53/100)),-3)</f>
        <v>3240000</v>
      </c>
      <c r="U10" s="79">
        <f>ROUND(((Upland!$U$25*480*Upland!$U$53/100)),-3)</f>
        <v>3749000</v>
      </c>
      <c r="V10" s="79">
        <f>ROUND(((Upland!$V$25*480*Upland!$V$53/100)),-3)</f>
        <v>4550000</v>
      </c>
      <c r="W10" s="69"/>
    </row>
    <row r="11" spans="1:23" ht="18">
      <c r="A11" s="80" t="s">
        <v>127</v>
      </c>
      <c r="B11" s="79">
        <v>492261</v>
      </c>
      <c r="C11" s="79">
        <v>608438</v>
      </c>
      <c r="D11" s="79">
        <v>714389</v>
      </c>
      <c r="E11" s="79">
        <v>771315</v>
      </c>
      <c r="F11" s="79">
        <v>731005</v>
      </c>
      <c r="G11" s="79">
        <v>933764</v>
      </c>
      <c r="H11" s="79">
        <v>835371</v>
      </c>
      <c r="I11" s="79">
        <v>687179</v>
      </c>
      <c r="J11" s="79">
        <v>559157</v>
      </c>
      <c r="K11" s="79">
        <v>667800</v>
      </c>
      <c r="L11" s="79">
        <v>678597</v>
      </c>
      <c r="M11" s="79">
        <v>616352</v>
      </c>
      <c r="N11" s="79">
        <v>778994</v>
      </c>
      <c r="O11" s="79">
        <v>874280</v>
      </c>
      <c r="P11" s="79" t="e">
        <f>ROUND(Upland!$P$19*Upland!$P$20*ROUND(Upland!$P$105*Upland!$P$107/2000,3),-3)</f>
        <v>#REF!</v>
      </c>
      <c r="Q11" s="79" t="e">
        <f>ROUND(Upland!$Q$19*Upland!$Q$20*ROUND(Upland!$Q$105*Upland!$Q$107/2000,3),-3)</f>
        <v>#REF!</v>
      </c>
      <c r="R11" s="79" t="e">
        <f>ROUND(Upland!$R$19*Upland!$R$20*ROUND(Upland!$R$105*Upland!$R$107/2000,3),-3)</f>
        <v>#REF!</v>
      </c>
      <c r="S11" s="79" t="e">
        <f>ROUND(Upland!$S$19*Upland!$S$20*ROUND(Upland!$S$105*Upland!$S$107/2000,3),-3)</f>
        <v>#REF!</v>
      </c>
      <c r="T11" s="79">
        <f>ROUND(Upland!$T$19*Upland!$T$20*ROUND(Upland!$T$105*Upland!$T$107/2000,3),-3)</f>
        <v>562000</v>
      </c>
      <c r="U11" s="79">
        <f>ROUND(Upland!$U$19*Upland!$U$20*ROUND(Upland!$U$105*Upland!$U$107/2000,3),-3)</f>
        <v>608000</v>
      </c>
      <c r="V11" s="79">
        <f>ROUND(Upland!$V$19*Upland!$V$20*ROUND(Upland!$V$105*Upland!$V$107/2000,3),-3)</f>
        <v>681000</v>
      </c>
      <c r="W11" s="69"/>
    </row>
    <row r="12" spans="1:23" ht="18">
      <c r="A12" s="80" t="s">
        <v>129</v>
      </c>
      <c r="B12" s="79">
        <v>322165</v>
      </c>
      <c r="C12" s="79">
        <v>476000</v>
      </c>
      <c r="D12" s="79">
        <v>242000</v>
      </c>
      <c r="E12" s="79">
        <f>ROUND((Upland!$E$120*(MAX(Upland!$E$49-Upland!$E$51,0))*4.8*0.95),-3)</f>
        <v>0</v>
      </c>
      <c r="F12" s="79">
        <f>ROUND((Upland!$F$120*(MAX(Upland!$F$49-Upland!$F$51,0))*4.8*0.95),-3)</f>
        <v>0</v>
      </c>
      <c r="G12" s="79">
        <f>ROUND((Upland!$G$120*(MAX(Upland!$G$49-Upland!$G$51,0))*4.8*0.95),-3)</f>
        <v>0</v>
      </c>
      <c r="H12" s="79">
        <v>26000</v>
      </c>
      <c r="I12" s="79">
        <v>230000</v>
      </c>
      <c r="J12" s="79">
        <v>817000</v>
      </c>
      <c r="K12" s="79">
        <v>61000</v>
      </c>
      <c r="L12" s="79">
        <v>46000</v>
      </c>
      <c r="M12" s="79">
        <v>56000</v>
      </c>
      <c r="N12" s="79">
        <v>9000</v>
      </c>
      <c r="O12" s="79">
        <v>1438000</v>
      </c>
      <c r="P12" s="79">
        <v>900000</v>
      </c>
      <c r="Q12" s="79" t="e">
        <f>ROUND(0.6*0.95*Upland!$Q$25*480*(Upland!$Q$49-Upland!$Q$51)/100,-2)</f>
        <v>#REF!</v>
      </c>
      <c r="R12" s="79" t="e">
        <f>ROUND(0.6*0.95*Upland!$R$25*480*(Upland!$R$49-Upland!$R$51)/100,-2)</f>
        <v>#REF!</v>
      </c>
      <c r="S12" s="79" t="e">
        <f>ROUND(0.6*0.95*Upland!$S$25*480*(Upland!$S$49-Upland!$S$51)/100,-2)</f>
        <v>#REF!</v>
      </c>
      <c r="T12" s="79" t="e">
        <f>ROUND(0.6*0.95*Upland!$T$25*480*(Upland!$T$49-Upland!$T$51)/100,-2)</f>
        <v>#REF!</v>
      </c>
      <c r="U12" s="79" t="e">
        <f>ROUND(0.6*0.95*Upland!$U$25*480*(Upland!$U$49-Upland!$U$51)/100,-2)</f>
        <v>#REF!</v>
      </c>
      <c r="V12" s="79" t="e">
        <f>ROUND(0.6*0.95*Upland!$V$25*480*(Upland!$V$49-Upland!$V$51)/100,-2)</f>
        <v>#REF!</v>
      </c>
      <c r="W12" s="69"/>
    </row>
    <row r="13" spans="1:23" ht="18">
      <c r="A13" s="80" t="s">
        <v>391</v>
      </c>
      <c r="B13" s="79"/>
      <c r="C13" s="79"/>
      <c r="D13" s="79"/>
      <c r="E13" s="79"/>
      <c r="F13" s="79"/>
      <c r="G13" s="79"/>
      <c r="H13" s="79"/>
      <c r="I13" s="79"/>
      <c r="J13" s="79">
        <v>36000</v>
      </c>
      <c r="K13" s="79">
        <v>360000</v>
      </c>
      <c r="L13" s="79">
        <v>1770000</v>
      </c>
      <c r="M13" s="79">
        <v>658000</v>
      </c>
      <c r="N13" s="79">
        <v>160000</v>
      </c>
      <c r="O13" s="79"/>
      <c r="P13" s="79"/>
      <c r="Q13" s="79"/>
      <c r="R13" s="79"/>
      <c r="S13" s="79"/>
      <c r="T13" s="79"/>
      <c r="U13" s="79"/>
      <c r="V13" s="79"/>
      <c r="W13" s="69"/>
    </row>
    <row r="14" spans="1:23" ht="18">
      <c r="A14" s="80" t="s">
        <v>392</v>
      </c>
      <c r="B14" s="79"/>
      <c r="C14" s="79"/>
      <c r="D14" s="79"/>
      <c r="E14" s="79"/>
      <c r="F14" s="79"/>
      <c r="G14" s="79"/>
      <c r="H14" s="79"/>
      <c r="I14" s="79"/>
      <c r="J14" s="79">
        <v>79000</v>
      </c>
      <c r="K14" s="79">
        <v>100000</v>
      </c>
      <c r="L14" s="79">
        <v>85000</v>
      </c>
      <c r="M14" s="79">
        <v>50000</v>
      </c>
      <c r="N14" s="79"/>
      <c r="O14" s="79"/>
      <c r="P14" s="79"/>
      <c r="Q14" s="79"/>
      <c r="R14" s="79"/>
      <c r="S14" s="79"/>
      <c r="T14" s="79"/>
      <c r="U14" s="79"/>
      <c r="V14" s="79"/>
      <c r="W14" s="69"/>
    </row>
    <row r="15" spans="1:23" ht="18">
      <c r="A15" s="80" t="s">
        <v>130</v>
      </c>
      <c r="B15" s="79" t="e">
        <f aca="true" t="shared" si="0" ref="B15:I15">SUM(B5:B12)</f>
        <v>#REF!</v>
      </c>
      <c r="C15" s="79">
        <f t="shared" si="0"/>
        <v>6584109.99817</v>
      </c>
      <c r="D15" s="79">
        <f t="shared" si="0"/>
        <v>6842926.18619</v>
      </c>
      <c r="E15" s="79">
        <f t="shared" si="0"/>
        <v>7681368.8488</v>
      </c>
      <c r="F15" s="79">
        <f t="shared" si="0"/>
        <v>7092189</v>
      </c>
      <c r="G15" s="79" t="e">
        <f t="shared" si="0"/>
        <v>#REF!</v>
      </c>
      <c r="H15" s="79">
        <f t="shared" si="0"/>
        <v>7170155</v>
      </c>
      <c r="I15" s="79">
        <f t="shared" si="0"/>
        <v>6098193</v>
      </c>
      <c r="J15" s="79">
        <f aca="true" t="shared" si="1" ref="J15:V15">SUM(J5:J14)</f>
        <v>6936707</v>
      </c>
      <c r="K15" s="79">
        <f t="shared" si="1"/>
        <v>6600961</v>
      </c>
      <c r="L15" s="79">
        <f t="shared" si="1"/>
        <v>7402011</v>
      </c>
      <c r="M15" s="79">
        <f t="shared" si="1"/>
        <v>7013475</v>
      </c>
      <c r="N15" s="79">
        <f t="shared" si="1"/>
        <v>7242072</v>
      </c>
      <c r="O15" s="79" t="e">
        <f t="shared" si="1"/>
        <v>#REF!</v>
      </c>
      <c r="P15" s="79" t="e">
        <f t="shared" si="1"/>
        <v>#REF!</v>
      </c>
      <c r="Q15" s="79" t="e">
        <f t="shared" si="1"/>
        <v>#REF!</v>
      </c>
      <c r="R15" s="79" t="e">
        <f t="shared" si="1"/>
        <v>#REF!</v>
      </c>
      <c r="S15" s="79" t="e">
        <f t="shared" si="1"/>
        <v>#REF!</v>
      </c>
      <c r="T15" s="79" t="e">
        <f t="shared" si="1"/>
        <v>#REF!</v>
      </c>
      <c r="U15" s="79" t="e">
        <f t="shared" si="1"/>
        <v>#REF!</v>
      </c>
      <c r="V15" s="79" t="e">
        <f t="shared" si="1"/>
        <v>#REF!</v>
      </c>
      <c r="W15" s="69"/>
    </row>
    <row r="16" spans="1:23" ht="18">
      <c r="A16" s="80" t="s">
        <v>131</v>
      </c>
      <c r="B16" s="69"/>
      <c r="C16" s="79">
        <v>92000</v>
      </c>
      <c r="D16" s="79">
        <v>57000</v>
      </c>
      <c r="E16" s="79">
        <v>2477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69"/>
    </row>
    <row r="17" spans="1:23" ht="18">
      <c r="A17" s="80" t="s">
        <v>132</v>
      </c>
      <c r="B17" s="79">
        <v>140293</v>
      </c>
      <c r="C17" s="79">
        <v>114700</v>
      </c>
      <c r="D17" s="79">
        <v>141900</v>
      </c>
      <c r="E17" s="79">
        <v>88000</v>
      </c>
      <c r="F17" s="79">
        <v>34111</v>
      </c>
      <c r="G17" s="79">
        <v>3300</v>
      </c>
      <c r="H17" s="79">
        <v>390200</v>
      </c>
      <c r="I17" s="79">
        <v>307500</v>
      </c>
      <c r="J17" s="79">
        <v>421600</v>
      </c>
      <c r="K17" s="79">
        <v>236100</v>
      </c>
      <c r="L17" s="79">
        <v>194800</v>
      </c>
      <c r="M17" s="79">
        <v>300800</v>
      </c>
      <c r="N17" s="79">
        <v>153300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69"/>
    </row>
    <row r="18" spans="1:23" ht="18">
      <c r="A18" s="80" t="s">
        <v>393</v>
      </c>
      <c r="B18" s="79" t="e">
        <f>ROUND(Upland!$B$30*480*#REF!/100,0)</f>
        <v>#REF!</v>
      </c>
      <c r="C18" s="81" t="e">
        <f>ROUND(Upland!$C$30*480*#REF!/100,0)</f>
        <v>#REF!</v>
      </c>
      <c r="D18" s="81" t="e">
        <f>ROUND(Upland!$D$30*480*#REF!/100,0)</f>
        <v>#REF!</v>
      </c>
      <c r="E18" s="81" t="e">
        <f>ROUND(Upland!$E$30*480*#REF!/100,0)</f>
        <v>#REF!</v>
      </c>
      <c r="F18" s="81" t="e">
        <f>ROUND(Upland!$F$30*480*#REF!/100,0)</f>
        <v>#REF!</v>
      </c>
      <c r="G18" s="81" t="e">
        <f>ROUND(Upland!$G$30*480*#REF!/100,0)</f>
        <v>#REF!</v>
      </c>
      <c r="H18" s="81" t="e">
        <f>ROUND(Upland!$H$30*480*#REF!/100,0)</f>
        <v>#REF!</v>
      </c>
      <c r="I18" s="81" t="e">
        <f>ROUND(Upland!$I$30*480*#REF!/100,0)</f>
        <v>#REF!</v>
      </c>
      <c r="J18" s="81" t="e">
        <f>ROUND(Upland!$J$30*480*#REF!/100,0)</f>
        <v>#REF!</v>
      </c>
      <c r="K18" s="81" t="e">
        <f>ROUND(Upland!$K$30*480*#REF!/100,0)</f>
        <v>#REF!</v>
      </c>
      <c r="L18" s="81" t="e">
        <f>ROUND(Upland!$L$30*480*#REF!/100,0)</f>
        <v>#REF!</v>
      </c>
      <c r="M18" s="81" t="e">
        <f>ROUND(Upland!$M$30*480*#REF!/100,0)</f>
        <v>#REF!</v>
      </c>
      <c r="N18" s="79" t="e">
        <f>ROUND(Upland!$N$30*480*#REF!/100,0)</f>
        <v>#REF!</v>
      </c>
      <c r="O18" s="82"/>
      <c r="P18" s="82"/>
      <c r="Q18" s="82"/>
      <c r="R18" s="82"/>
      <c r="S18" s="82"/>
      <c r="T18" s="82"/>
      <c r="U18" s="82"/>
      <c r="V18" s="82"/>
      <c r="W18" s="69"/>
    </row>
    <row r="19" spans="1:23" ht="18">
      <c r="A19" s="80" t="s">
        <v>394</v>
      </c>
      <c r="B19" s="79">
        <f aca="true" t="shared" si="2" ref="B19:V19">B10+B11</f>
        <v>5220759</v>
      </c>
      <c r="C19" s="79">
        <f t="shared" si="2"/>
        <v>4690095</v>
      </c>
      <c r="D19" s="79">
        <f t="shared" si="2"/>
        <v>5080923</v>
      </c>
      <c r="E19" s="79">
        <f t="shared" si="2"/>
        <v>7401897</v>
      </c>
      <c r="F19" s="79">
        <f t="shared" si="2"/>
        <v>7089189</v>
      </c>
      <c r="G19" s="79" t="e">
        <f t="shared" si="2"/>
        <v>#REF!</v>
      </c>
      <c r="H19" s="79">
        <f t="shared" si="2"/>
        <v>6544311</v>
      </c>
      <c r="I19" s="79">
        <f t="shared" si="2"/>
        <v>4611006</v>
      </c>
      <c r="J19" s="79">
        <f t="shared" si="2"/>
        <v>4092982</v>
      </c>
      <c r="K19" s="79">
        <f t="shared" si="2"/>
        <v>4740961</v>
      </c>
      <c r="L19" s="79">
        <f t="shared" si="2"/>
        <v>3759011</v>
      </c>
      <c r="M19" s="79">
        <f t="shared" si="2"/>
        <v>4113475</v>
      </c>
      <c r="N19" s="79">
        <f t="shared" si="2"/>
        <v>6045072</v>
      </c>
      <c r="O19" s="79" t="e">
        <f t="shared" si="2"/>
        <v>#REF!</v>
      </c>
      <c r="P19" s="79" t="e">
        <f t="shared" si="2"/>
        <v>#REF!</v>
      </c>
      <c r="Q19" s="79" t="e">
        <f t="shared" si="2"/>
        <v>#REF!</v>
      </c>
      <c r="R19" s="79" t="e">
        <f t="shared" si="2"/>
        <v>#REF!</v>
      </c>
      <c r="S19" s="79" t="e">
        <f t="shared" si="2"/>
        <v>#REF!</v>
      </c>
      <c r="T19" s="79">
        <f t="shared" si="2"/>
        <v>3802000</v>
      </c>
      <c r="U19" s="79">
        <f t="shared" si="2"/>
        <v>4357000</v>
      </c>
      <c r="V19" s="79">
        <f t="shared" si="2"/>
        <v>5231000</v>
      </c>
      <c r="W19" s="69"/>
    </row>
    <row r="20" spans="1:23" ht="18">
      <c r="A20" s="80" t="s">
        <v>395</v>
      </c>
      <c r="B20" s="79" t="e">
        <f aca="true" t="shared" si="3" ref="B20:V20">B5+B6+B7+B8+B9+B12+B13+B14</f>
        <v>#REF!</v>
      </c>
      <c r="C20" s="81">
        <f t="shared" si="3"/>
        <v>1894014.99817</v>
      </c>
      <c r="D20" s="81">
        <f t="shared" si="3"/>
        <v>1762003.18619</v>
      </c>
      <c r="E20" s="81">
        <f t="shared" si="3"/>
        <v>279471.8488</v>
      </c>
      <c r="F20" s="81">
        <f t="shared" si="3"/>
        <v>3000</v>
      </c>
      <c r="G20" s="81">
        <f t="shared" si="3"/>
        <v>699115</v>
      </c>
      <c r="H20" s="81">
        <f t="shared" si="3"/>
        <v>625844</v>
      </c>
      <c r="I20" s="81">
        <f t="shared" si="3"/>
        <v>1487187</v>
      </c>
      <c r="J20" s="81">
        <f t="shared" si="3"/>
        <v>2843725</v>
      </c>
      <c r="K20" s="81">
        <f t="shared" si="3"/>
        <v>1860000</v>
      </c>
      <c r="L20" s="81">
        <f t="shared" si="3"/>
        <v>3643000</v>
      </c>
      <c r="M20" s="81">
        <f t="shared" si="3"/>
        <v>2900000</v>
      </c>
      <c r="N20" s="81">
        <f t="shared" si="3"/>
        <v>1197000</v>
      </c>
      <c r="O20" s="81">
        <f t="shared" si="3"/>
        <v>3740000</v>
      </c>
      <c r="P20" s="81">
        <f t="shared" si="3"/>
        <v>3065000</v>
      </c>
      <c r="Q20" s="81" t="e">
        <f t="shared" si="3"/>
        <v>#REF!</v>
      </c>
      <c r="R20" s="81" t="e">
        <f t="shared" si="3"/>
        <v>#REF!</v>
      </c>
      <c r="S20" s="81" t="e">
        <f t="shared" si="3"/>
        <v>#REF!</v>
      </c>
      <c r="T20" s="81" t="e">
        <f t="shared" si="3"/>
        <v>#REF!</v>
      </c>
      <c r="U20" s="81" t="e">
        <f t="shared" si="3"/>
        <v>#REF!</v>
      </c>
      <c r="V20" s="79" t="e">
        <f t="shared" si="3"/>
        <v>#REF!</v>
      </c>
      <c r="W20" s="69"/>
    </row>
    <row r="21" spans="1:23" ht="18">
      <c r="A21" s="80" t="s">
        <v>160</v>
      </c>
      <c r="B21" s="79" t="e">
        <f aca="true" t="shared" si="4" ref="B21:V21">SUM(B19:B20)</f>
        <v>#REF!</v>
      </c>
      <c r="C21" s="79">
        <f t="shared" si="4"/>
        <v>6584109.99817</v>
      </c>
      <c r="D21" s="79">
        <f t="shared" si="4"/>
        <v>6842926.18619</v>
      </c>
      <c r="E21" s="79">
        <f t="shared" si="4"/>
        <v>7681368.8488</v>
      </c>
      <c r="F21" s="79">
        <f t="shared" si="4"/>
        <v>7092189</v>
      </c>
      <c r="G21" s="79" t="e">
        <f t="shared" si="4"/>
        <v>#REF!</v>
      </c>
      <c r="H21" s="79">
        <f t="shared" si="4"/>
        <v>7170155</v>
      </c>
      <c r="I21" s="79">
        <f t="shared" si="4"/>
        <v>6098193</v>
      </c>
      <c r="J21" s="79">
        <f t="shared" si="4"/>
        <v>6936707</v>
      </c>
      <c r="K21" s="79">
        <f t="shared" si="4"/>
        <v>6600961</v>
      </c>
      <c r="L21" s="79">
        <f t="shared" si="4"/>
        <v>7402011</v>
      </c>
      <c r="M21" s="79">
        <f t="shared" si="4"/>
        <v>7013475</v>
      </c>
      <c r="N21" s="79">
        <f t="shared" si="4"/>
        <v>7242072</v>
      </c>
      <c r="O21" s="79" t="e">
        <f t="shared" si="4"/>
        <v>#REF!</v>
      </c>
      <c r="P21" s="79" t="e">
        <f t="shared" si="4"/>
        <v>#REF!</v>
      </c>
      <c r="Q21" s="79" t="e">
        <f t="shared" si="4"/>
        <v>#REF!</v>
      </c>
      <c r="R21" s="79" t="e">
        <f t="shared" si="4"/>
        <v>#REF!</v>
      </c>
      <c r="S21" s="79" t="e">
        <f t="shared" si="4"/>
        <v>#REF!</v>
      </c>
      <c r="T21" s="79" t="e">
        <f t="shared" si="4"/>
        <v>#REF!</v>
      </c>
      <c r="U21" s="79" t="e">
        <f t="shared" si="4"/>
        <v>#REF!</v>
      </c>
      <c r="V21" s="79" t="e">
        <f t="shared" si="4"/>
        <v>#REF!</v>
      </c>
      <c r="W21" s="69"/>
    </row>
    <row r="22" spans="1:23" ht="18">
      <c r="A22" s="80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3" ht="18">
      <c r="A23" s="80" t="s">
        <v>396</v>
      </c>
      <c r="B23" s="69"/>
      <c r="C23" s="69"/>
      <c r="D23" s="69"/>
      <c r="E23" s="69"/>
      <c r="F23" s="69"/>
      <c r="G23" s="69" t="e">
        <f>ROUND(G19/Upland!$G$18,0)</f>
        <v>#REF!</v>
      </c>
      <c r="H23" s="69">
        <f>ROUND(H19/Upland!$H$18,0)</f>
        <v>480</v>
      </c>
      <c r="I23" s="69">
        <f>ROUND(I19/Upland!$I$18,0)</f>
        <v>353</v>
      </c>
      <c r="J23" s="69">
        <f>ROUND(J19/Upland!$J$18,0)</f>
        <v>281</v>
      </c>
      <c r="K23" s="69">
        <f>ROUND(K19/Upland!$K$18,0)</f>
        <v>309</v>
      </c>
      <c r="L23" s="69">
        <f>ROUND(L19/Upland!$L$18,0)</f>
        <v>243</v>
      </c>
      <c r="M23" s="69">
        <f>ROUND(M19/Upland!$M$18,0)</f>
        <v>300</v>
      </c>
      <c r="N23" s="69">
        <f>ROUND(N19/Upland!$N$18,0)</f>
        <v>454</v>
      </c>
      <c r="O23" s="69" t="e">
        <f>ROUND(O19/Upland!$O$18,0)</f>
        <v>#REF!</v>
      </c>
      <c r="P23" s="69" t="e">
        <f>ROUND(P19/Upland!$P$18,0)</f>
        <v>#REF!</v>
      </c>
      <c r="Q23" s="69"/>
      <c r="R23" s="69"/>
      <c r="S23" s="69"/>
      <c r="T23" s="69"/>
      <c r="U23" s="69"/>
      <c r="V23" s="69"/>
      <c r="W23" s="69"/>
    </row>
    <row r="24" spans="1:23" ht="18">
      <c r="A24" s="80" t="s">
        <v>397</v>
      </c>
      <c r="B24" s="69"/>
      <c r="C24" s="69"/>
      <c r="D24" s="69"/>
      <c r="E24" s="69"/>
      <c r="F24" s="69"/>
      <c r="G24" s="69" t="e">
        <f>ROUND((Upland!$G$25*480)/Upland!$G$18,0)</f>
        <v>#REF!</v>
      </c>
      <c r="H24" s="69" t="e">
        <f>ROUND((Upland!$H$25*480)/Upland!$H$18,0)</f>
        <v>#REF!</v>
      </c>
      <c r="I24" s="69" t="e">
        <f>ROUND((Upland!$I$25*480)/Upland!$I$18,0)</f>
        <v>#REF!</v>
      </c>
      <c r="J24" s="69" t="e">
        <f>ROUND((Upland!$J$25*480)/Upland!$J$18,0)</f>
        <v>#REF!</v>
      </c>
      <c r="K24" s="69" t="e">
        <f>ROUND((Upland!$K$25*480)/Upland!$K$18,0)</f>
        <v>#REF!</v>
      </c>
      <c r="L24" s="69" t="e">
        <f>ROUND((Upland!$L$25*480)/Upland!$L$18,0)</f>
        <v>#REF!</v>
      </c>
      <c r="M24" s="69" t="e">
        <f>ROUND((Upland!$M$25*480)/Upland!$M$18,0)</f>
        <v>#REF!</v>
      </c>
      <c r="N24" s="69" t="e">
        <f>ROUND((Upland!$N$25*480)/Upland!$N$18,0)</f>
        <v>#REF!</v>
      </c>
      <c r="O24" s="69" t="e">
        <f>ROUND((Upland!$O$25*480)/Upland!$O$18,0)</f>
        <v>#REF!</v>
      </c>
      <c r="P24" s="69" t="e">
        <f>ROUND((Upland!$P$25*480)/Upland!$P$18,0)</f>
        <v>#REF!</v>
      </c>
      <c r="Q24" s="69"/>
      <c r="R24" s="69"/>
      <c r="S24" s="69"/>
      <c r="T24" s="69"/>
      <c r="U24" s="69"/>
      <c r="V24" s="69"/>
      <c r="W24" s="69"/>
    </row>
    <row r="25" spans="1:23" ht="18">
      <c r="A25" s="80" t="s">
        <v>398</v>
      </c>
      <c r="B25" s="69"/>
      <c r="C25" s="69"/>
      <c r="D25" s="69"/>
      <c r="E25" s="69"/>
      <c r="F25" s="69"/>
      <c r="G25" s="69">
        <f>Upland!$G$53</f>
        <v>69.3</v>
      </c>
      <c r="H25" s="69">
        <f>Upland!$H$53</f>
        <v>65.2</v>
      </c>
      <c r="I25" s="69">
        <f>Upland!$I$53</f>
        <v>60.2</v>
      </c>
      <c r="J25" s="69">
        <f>Upland!$J$53</f>
        <v>45</v>
      </c>
      <c r="K25" s="69">
        <f>Upland!$K$53</f>
        <v>49.8</v>
      </c>
      <c r="L25" s="69">
        <f>Upland!$L$53</f>
        <v>29.8</v>
      </c>
      <c r="M25" s="69">
        <f>Upland!$M$53</f>
        <v>44.5</v>
      </c>
      <c r="N25" s="69">
        <f>Upland!$N$53</f>
        <v>61.8</v>
      </c>
      <c r="O25" s="69">
        <f>Upland!$O$53</f>
        <v>41.6</v>
      </c>
      <c r="P25" s="69">
        <f>Upland!$P$53</f>
        <v>47.7</v>
      </c>
      <c r="Q25" s="69"/>
      <c r="R25" s="69"/>
      <c r="S25" s="69"/>
      <c r="T25" s="69"/>
      <c r="U25" s="69"/>
      <c r="V25" s="69"/>
      <c r="W25" s="69"/>
    </row>
    <row r="26" spans="1:23" ht="18">
      <c r="A26" s="80" t="s">
        <v>399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9" t="e">
        <f>AVERAGE(G23:L23)</f>
        <v>#REF!</v>
      </c>
      <c r="M26" s="69"/>
      <c r="N26" s="69"/>
      <c r="O26" s="69"/>
      <c r="P26" s="79" t="e">
        <f>AVERAGE(M23:P23)</f>
        <v>#REF!</v>
      </c>
      <c r="Q26" s="69"/>
      <c r="R26" s="69"/>
      <c r="S26" s="69"/>
      <c r="T26" s="69"/>
      <c r="U26" s="69"/>
      <c r="V26" s="69"/>
      <c r="W26" s="69"/>
    </row>
    <row r="27" spans="1:23" ht="18">
      <c r="A27" s="80" t="s">
        <v>400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9" t="e">
        <f>AVERAGE(G24:L24)</f>
        <v>#REF!</v>
      </c>
      <c r="M27" s="69"/>
      <c r="N27" s="69"/>
      <c r="O27" s="69"/>
      <c r="P27" s="79" t="e">
        <f>AVERAGE(M24:P24)</f>
        <v>#REF!</v>
      </c>
      <c r="Q27" s="69"/>
      <c r="R27" s="69"/>
      <c r="S27" s="69"/>
      <c r="T27" s="69"/>
      <c r="U27" s="69"/>
      <c r="V27" s="69"/>
      <c r="W27" s="69"/>
    </row>
    <row r="28" spans="1:23" ht="18">
      <c r="A28" s="80" t="s">
        <v>398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83">
        <f>AVERAGE(G25:L25)</f>
        <v>53.21666666666667</v>
      </c>
      <c r="M28" s="69"/>
      <c r="N28" s="69"/>
      <c r="O28" s="69"/>
      <c r="P28" s="83">
        <f>AVERAGE(M25:P25)</f>
        <v>48.900000000000006</v>
      </c>
      <c r="Q28" s="69"/>
      <c r="R28" s="69"/>
      <c r="S28" s="69"/>
      <c r="T28" s="69"/>
      <c r="U28" s="69"/>
      <c r="V28" s="69"/>
      <c r="W28" s="69"/>
    </row>
    <row r="29" spans="1:23" ht="18">
      <c r="A29" s="80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ht="18">
      <c r="A30" s="80" t="s">
        <v>134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9" t="e">
        <f>SUM(M20:R20)</f>
        <v>#REF!</v>
      </c>
      <c r="S30" s="69"/>
      <c r="T30" s="69"/>
      <c r="U30" s="69"/>
      <c r="V30" s="69"/>
      <c r="W30" s="69"/>
    </row>
    <row r="31" spans="1:23" ht="18">
      <c r="A31" s="84" t="s">
        <v>138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3" ht="18">
      <c r="A32" s="80" t="s">
        <v>141</v>
      </c>
      <c r="B32" s="82">
        <v>266.54</v>
      </c>
      <c r="C32" s="82">
        <v>263.55</v>
      </c>
      <c r="D32" s="82">
        <v>271.51</v>
      </c>
      <c r="E32" s="82">
        <v>276.95</v>
      </c>
      <c r="F32" s="82">
        <v>298.41</v>
      </c>
      <c r="G32" s="82">
        <v>298.78</v>
      </c>
      <c r="H32" s="82">
        <v>298.61</v>
      </c>
      <c r="I32" s="82">
        <v>259.39</v>
      </c>
      <c r="J32" s="82">
        <v>274.13</v>
      </c>
      <c r="K32" s="82">
        <v>298.81</v>
      </c>
      <c r="L32" s="82">
        <v>317.42</v>
      </c>
      <c r="M32" s="82">
        <v>313.85</v>
      </c>
      <c r="N32" s="82">
        <v>327.67</v>
      </c>
      <c r="O32" s="82">
        <v>345.28</v>
      </c>
      <c r="P32" s="82">
        <v>343.83</v>
      </c>
      <c r="Q32" s="82">
        <v>348.98</v>
      </c>
      <c r="R32" s="82">
        <v>352.71</v>
      </c>
      <c r="S32" s="82">
        <v>356.65</v>
      </c>
      <c r="T32" s="82">
        <v>360.7</v>
      </c>
      <c r="U32" s="82">
        <v>364.83</v>
      </c>
      <c r="V32" s="82">
        <v>369.21</v>
      </c>
      <c r="W32" s="69"/>
    </row>
    <row r="33" spans="1:23" ht="18">
      <c r="A33" s="80" t="s">
        <v>143</v>
      </c>
      <c r="B33" s="82">
        <f aca="true" t="shared" si="5" ref="B33:V33">ROUND((0.1*B32),2)</f>
        <v>26.65</v>
      </c>
      <c r="C33" s="82">
        <f t="shared" si="5"/>
        <v>26.36</v>
      </c>
      <c r="D33" s="82">
        <f t="shared" si="5"/>
        <v>27.15</v>
      </c>
      <c r="E33" s="82">
        <f t="shared" si="5"/>
        <v>27.7</v>
      </c>
      <c r="F33" s="82">
        <f t="shared" si="5"/>
        <v>29.84</v>
      </c>
      <c r="G33" s="82">
        <f t="shared" si="5"/>
        <v>29.88</v>
      </c>
      <c r="H33" s="82">
        <f t="shared" si="5"/>
        <v>29.86</v>
      </c>
      <c r="I33" s="82">
        <f t="shared" si="5"/>
        <v>25.94</v>
      </c>
      <c r="J33" s="82">
        <f t="shared" si="5"/>
        <v>27.41</v>
      </c>
      <c r="K33" s="82">
        <f t="shared" si="5"/>
        <v>29.88</v>
      </c>
      <c r="L33" s="82">
        <f t="shared" si="5"/>
        <v>31.74</v>
      </c>
      <c r="M33" s="82">
        <f t="shared" si="5"/>
        <v>31.39</v>
      </c>
      <c r="N33" s="82">
        <f t="shared" si="5"/>
        <v>32.77</v>
      </c>
      <c r="O33" s="82">
        <f t="shared" si="5"/>
        <v>34.53</v>
      </c>
      <c r="P33" s="82">
        <f t="shared" si="5"/>
        <v>34.38</v>
      </c>
      <c r="Q33" s="82">
        <f t="shared" si="5"/>
        <v>34.9</v>
      </c>
      <c r="R33" s="82">
        <f t="shared" si="5"/>
        <v>35.27</v>
      </c>
      <c r="S33" s="82">
        <f t="shared" si="5"/>
        <v>35.67</v>
      </c>
      <c r="T33" s="82">
        <f t="shared" si="5"/>
        <v>36.07</v>
      </c>
      <c r="U33" s="82">
        <f t="shared" si="5"/>
        <v>36.48</v>
      </c>
      <c r="V33" s="82">
        <f t="shared" si="5"/>
        <v>36.92</v>
      </c>
      <c r="W33" s="69"/>
    </row>
    <row r="34" spans="1:23" ht="18">
      <c r="A34" s="80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</row>
    <row r="35" spans="1:23" ht="18">
      <c r="A35" s="84" t="s">
        <v>147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</row>
    <row r="36" spans="1:23" ht="18">
      <c r="A36" s="80" t="s">
        <v>148</v>
      </c>
      <c r="B36" s="79">
        <f>ROUND((Upland!$B$18*B32/1000),0)</f>
        <v>3679</v>
      </c>
      <c r="C36" s="79">
        <f>ROUND((Upland!$C$18*C32/1000),0)</f>
        <v>3420</v>
      </c>
      <c r="D36" s="79">
        <f>ROUND((Upland!$D$18*D32/1000),0)</f>
        <v>3597</v>
      </c>
      <c r="E36" s="79">
        <f>ROUND((Upland!$E$18*E32/1000),0)</f>
        <v>3753</v>
      </c>
      <c r="F36" s="79">
        <f>ROUND((Upland!$F$18*F32/1000),0)</f>
        <v>4989</v>
      </c>
      <c r="G36" s="79">
        <f>ROUND((Upland!$G$18*G32/1000),0)</f>
        <v>4301</v>
      </c>
      <c r="H36" s="79">
        <f>ROUND((Upland!$H$18*H32/1000),0)</f>
        <v>4075</v>
      </c>
      <c r="I36" s="79">
        <f>ROUND((Upland!$I$18*I32/1000),0)</f>
        <v>3389</v>
      </c>
      <c r="J36" s="79">
        <f>ROUND((Upland!$J$18*J32/1000),0)</f>
        <v>3998</v>
      </c>
      <c r="K36" s="79">
        <f>ROUND((Upland!$K$18*K32/1000),0)</f>
        <v>4586</v>
      </c>
      <c r="L36" s="79">
        <f>ROUND((Upland!$L$18*L32/1000),0)</f>
        <v>4920</v>
      </c>
      <c r="M36" s="79">
        <f>ROUND((Upland!$M$18*M32/1000),0)</f>
        <v>4304</v>
      </c>
      <c r="N36" s="79">
        <f>ROUND((Upland!$N$18*N32/1000),0)</f>
        <v>4358</v>
      </c>
      <c r="O36" s="79">
        <f>ROUND((Upland!$O$18*O32/1000),0)</f>
        <v>4630</v>
      </c>
      <c r="P36" s="79">
        <f>ROUND((Upland!$P$18*P32/1000),0)</f>
        <v>4805</v>
      </c>
      <c r="Q36" s="79">
        <f>ROUND((Upland!$Q$18*Q32/1000),0)</f>
        <v>5217</v>
      </c>
      <c r="R36" s="79">
        <f>ROUND((Upland!$R$18*R32/1000),0)</f>
        <v>3716</v>
      </c>
      <c r="S36" s="79">
        <f>ROUND((Upland!$S$18*S32/1000),0)</f>
        <v>3315</v>
      </c>
      <c r="T36" s="79">
        <f>ROUND((Upland!$T$18*T32/1000),0)</f>
        <v>3030</v>
      </c>
      <c r="U36" s="79">
        <f>ROUND((Upland!$U$18*U32/1000),0)</f>
        <v>3211</v>
      </c>
      <c r="V36" s="79">
        <f>ROUND((Upland!$V$18*V32/1000),0)</f>
        <v>3507</v>
      </c>
      <c r="W36" s="69"/>
    </row>
    <row r="37" spans="1:23" ht="18">
      <c r="A37" s="80" t="s">
        <v>150</v>
      </c>
      <c r="B37" s="79">
        <f>ROUND(((SUM(Upland!$B$9:$B$11))*B33/1000),0)</f>
        <v>33</v>
      </c>
      <c r="C37" s="79">
        <f>ROUND(((SUM(Upland!$C$9:$C$11))*C33/1000),0)</f>
        <v>45</v>
      </c>
      <c r="D37" s="79">
        <f>ROUND(((SUM(Upland!$D$9:$D$11))*D33/1000),0)</f>
        <v>37</v>
      </c>
      <c r="E37" s="79">
        <f>ROUND(((SUM(Upland!$E$9:$E$11))*E33/1000),0)</f>
        <v>47</v>
      </c>
      <c r="F37" s="79">
        <f>ROUND(((SUM(Upland!$F$9:$F$11))*F33/1000),0)</f>
        <v>6</v>
      </c>
      <c r="G37" s="79">
        <f>ROUND(((SUM(Upland!$G$9:$G$11))*G33/1000),0)</f>
        <v>0</v>
      </c>
      <c r="H37" s="79">
        <f>ROUND(((SUM(Upland!$H$9:$H$11))*H33/1000),0)</f>
        <v>0</v>
      </c>
      <c r="I37" s="79">
        <f>ROUND(((SUM(Upland!$I$9:$I$11))*I33/1000),0)</f>
        <v>0</v>
      </c>
      <c r="J37" s="79">
        <f>ROUND(((SUM(Upland!$J$9:$J$11))*J33/1000),0)</f>
        <v>0</v>
      </c>
      <c r="K37" s="79">
        <f>ROUND(((SUM(Upland!$K$9:$K$11))*K33/1000),0)</f>
        <v>0</v>
      </c>
      <c r="L37" s="79">
        <f>ROUND(((SUM(Upland!$L$9:$L$11))*L33/1000),0)</f>
        <v>0</v>
      </c>
      <c r="M37" s="79">
        <f>ROUND(((SUM(Upland!$M$9:$M$11))*M33/1000),0)</f>
        <v>0</v>
      </c>
      <c r="N37" s="79">
        <f>ROUND(((SUM(Upland!$N$9:$N$11))*N33/1000),0)</f>
        <v>0</v>
      </c>
      <c r="O37" s="79">
        <f>ROUND(((SUM(Upland!$O$9:$O$11))*O33/1000),0)</f>
        <v>0</v>
      </c>
      <c r="P37" s="79">
        <f>ROUND(((SUM(Upland!$P$9:$P$11))*P33/1000),0)</f>
        <v>0</v>
      </c>
      <c r="Q37" s="79">
        <f>ROUND(((SUM(Upland!$Q$9:$Q$11))*Q33/1000),0)</f>
        <v>0</v>
      </c>
      <c r="R37" s="79">
        <f>ROUND(((SUM(Upland!$R$9:$R$11))*R33/1000),0)</f>
        <v>0</v>
      </c>
      <c r="S37" s="79">
        <f>ROUND(((SUM(Upland!$S$9:$S$11))*S33/1000),0)</f>
        <v>0</v>
      </c>
      <c r="T37" s="79">
        <f>ROUND(((SUM(Upland!$T$9:$T$11))*T33/1000),0)</f>
        <v>0</v>
      </c>
      <c r="U37" s="79">
        <f>ROUND(((SUM(Upland!$U$9:$U$11))*U33/1000),0)</f>
        <v>0</v>
      </c>
      <c r="V37" s="79">
        <f>ROUND(((SUM(Upland!$V$9:$V$11))*V33/1000),0)</f>
        <v>0</v>
      </c>
      <c r="W37" s="69"/>
    </row>
    <row r="38" spans="1:23" ht="18">
      <c r="A38" s="80" t="s">
        <v>152</v>
      </c>
      <c r="B38" s="79">
        <f aca="true" t="shared" si="6" ref="B38:V38">B36+B37</f>
        <v>3712</v>
      </c>
      <c r="C38" s="79">
        <f t="shared" si="6"/>
        <v>3465</v>
      </c>
      <c r="D38" s="79">
        <f t="shared" si="6"/>
        <v>3634</v>
      </c>
      <c r="E38" s="79">
        <f t="shared" si="6"/>
        <v>3800</v>
      </c>
      <c r="F38" s="79">
        <f t="shared" si="6"/>
        <v>4995</v>
      </c>
      <c r="G38" s="79">
        <f t="shared" si="6"/>
        <v>4301</v>
      </c>
      <c r="H38" s="79">
        <f t="shared" si="6"/>
        <v>4075</v>
      </c>
      <c r="I38" s="79">
        <f t="shared" si="6"/>
        <v>3389</v>
      </c>
      <c r="J38" s="79">
        <f t="shared" si="6"/>
        <v>3998</v>
      </c>
      <c r="K38" s="79">
        <f t="shared" si="6"/>
        <v>4586</v>
      </c>
      <c r="L38" s="79">
        <f t="shared" si="6"/>
        <v>4920</v>
      </c>
      <c r="M38" s="79">
        <f t="shared" si="6"/>
        <v>4304</v>
      </c>
      <c r="N38" s="79">
        <f t="shared" si="6"/>
        <v>4358</v>
      </c>
      <c r="O38" s="79">
        <f t="shared" si="6"/>
        <v>4630</v>
      </c>
      <c r="P38" s="79">
        <f t="shared" si="6"/>
        <v>4805</v>
      </c>
      <c r="Q38" s="79">
        <f t="shared" si="6"/>
        <v>5217</v>
      </c>
      <c r="R38" s="79">
        <f t="shared" si="6"/>
        <v>3716</v>
      </c>
      <c r="S38" s="79">
        <f t="shared" si="6"/>
        <v>3315</v>
      </c>
      <c r="T38" s="79">
        <f t="shared" si="6"/>
        <v>3030</v>
      </c>
      <c r="U38" s="79">
        <f t="shared" si="6"/>
        <v>3211</v>
      </c>
      <c r="V38" s="79">
        <f t="shared" si="6"/>
        <v>3507</v>
      </c>
      <c r="W38" s="69"/>
    </row>
    <row r="39" spans="1:23" ht="18">
      <c r="A39" s="80" t="s">
        <v>154</v>
      </c>
      <c r="B39" s="79" t="e">
        <f aca="true" t="shared" si="7" ref="B39:V39">ROUND(B15/1000,0)-B38</f>
        <v>#REF!</v>
      </c>
      <c r="C39" s="79">
        <f t="shared" si="7"/>
        <v>3119</v>
      </c>
      <c r="D39" s="79">
        <f t="shared" si="7"/>
        <v>3209</v>
      </c>
      <c r="E39" s="79">
        <f t="shared" si="7"/>
        <v>3881</v>
      </c>
      <c r="F39" s="79">
        <f t="shared" si="7"/>
        <v>2097</v>
      </c>
      <c r="G39" s="79" t="e">
        <f t="shared" si="7"/>
        <v>#REF!</v>
      </c>
      <c r="H39" s="79">
        <f t="shared" si="7"/>
        <v>3095</v>
      </c>
      <c r="I39" s="79">
        <f t="shared" si="7"/>
        <v>2709</v>
      </c>
      <c r="J39" s="79">
        <f t="shared" si="7"/>
        <v>2939</v>
      </c>
      <c r="K39" s="79">
        <f t="shared" si="7"/>
        <v>2015</v>
      </c>
      <c r="L39" s="79">
        <f t="shared" si="7"/>
        <v>2482</v>
      </c>
      <c r="M39" s="79">
        <f t="shared" si="7"/>
        <v>2709</v>
      </c>
      <c r="N39" s="79">
        <f t="shared" si="7"/>
        <v>2884</v>
      </c>
      <c r="O39" s="79" t="e">
        <f t="shared" si="7"/>
        <v>#REF!</v>
      </c>
      <c r="P39" s="79" t="e">
        <f t="shared" si="7"/>
        <v>#REF!</v>
      </c>
      <c r="Q39" s="79" t="e">
        <f t="shared" si="7"/>
        <v>#REF!</v>
      </c>
      <c r="R39" s="79" t="e">
        <f t="shared" si="7"/>
        <v>#REF!</v>
      </c>
      <c r="S39" s="79" t="e">
        <f t="shared" si="7"/>
        <v>#REF!</v>
      </c>
      <c r="T39" s="79" t="e">
        <f t="shared" si="7"/>
        <v>#REF!</v>
      </c>
      <c r="U39" s="79" t="e">
        <f t="shared" si="7"/>
        <v>#REF!</v>
      </c>
      <c r="V39" s="79" t="e">
        <f t="shared" si="7"/>
        <v>#REF!</v>
      </c>
      <c r="W39" s="69"/>
    </row>
    <row r="40" spans="1:23" ht="18">
      <c r="A40" s="8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</row>
    <row r="41" spans="1:23" ht="18">
      <c r="A41" s="80" t="s">
        <v>155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</row>
    <row r="42" spans="1:23" ht="18">
      <c r="A42" s="80" t="s">
        <v>156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1:23" ht="18">
      <c r="A43" s="78" t="s">
        <v>157</v>
      </c>
      <c r="B43" s="69" t="e">
        <f>ROUND(B39/((SUM(Upland!$B$9,Upland!$B$10,Upland!$B$11,Upland!$B$18)/1000)),0)</f>
        <v>#REF!</v>
      </c>
      <c r="C43" s="69">
        <f>ROUND(C39/((SUM(Upland!$C$9,Upland!$C$10,Upland!$C$11,Upland!$C$18)/1000)),0)</f>
        <v>212</v>
      </c>
      <c r="D43" s="69">
        <f>ROUND(D39/((SUM(Upland!$D$9,Upland!$D$10,Upland!$D$11,Upland!$D$18)/1000)),0)</f>
        <v>219</v>
      </c>
      <c r="E43" s="69">
        <f>ROUND(E39/((SUM(Upland!$E$9,Upland!$E$10,Upland!$E$11,Upland!$E$18)/1000)),0)</f>
        <v>254</v>
      </c>
      <c r="F43" s="69">
        <f>ROUND(F39/((SUM(Upland!$F$9,Upland!$F$10,Upland!$F$11,Upland!$F$18)/1000)),0)</f>
        <v>124</v>
      </c>
      <c r="G43" s="69" t="e">
        <f>ROUND(G39/((SUM(Upland!$G$9,Upland!$G$10,Upland!$G$11,Upland!$G$18)/1000)),0)</f>
        <v>#REF!</v>
      </c>
      <c r="H43" s="69">
        <f>ROUND(H39/((SUM(Upland!$H$9,Upland!$H$10,Upland!$H$11,Upland!$H$18)/1000)),0)</f>
        <v>227</v>
      </c>
      <c r="I43" s="69">
        <f>ROUND(I39/((SUM(Upland!$I$9,Upland!$I$10,Upland!$I$11,Upland!$I$18)/1000)),0)</f>
        <v>207</v>
      </c>
      <c r="J43" s="69">
        <f>ROUND(J39/((SUM(Upland!$J$9,Upland!$J$10,Upland!$J$11,Upland!$J$18)/1000)),0)</f>
        <v>202</v>
      </c>
      <c r="K43" s="69">
        <f>ROUND(K39/((SUM(Upland!$K$9,Upland!$K$10,Upland!$K$11,Upland!$K$18)/1000)),0)</f>
        <v>131</v>
      </c>
      <c r="L43" s="69">
        <f>ROUND(L39/((SUM(Upland!$L$9,Upland!$L$10,Upland!$L$11,Upland!$L$18)/1000)),0)</f>
        <v>160</v>
      </c>
      <c r="M43" s="69">
        <f>ROUND(M39/((SUM(Upland!$M$9,Upland!$M$10,Upland!$M$11,Upland!$M$18)/1000)),0)</f>
        <v>198</v>
      </c>
      <c r="N43" s="69">
        <f>ROUND(N39/((SUM(Upland!$N$9,Upland!$N$10,Upland!$N$11,Upland!$N$18)/1000)),0)</f>
        <v>217</v>
      </c>
      <c r="O43" s="69" t="e">
        <f>ROUND(O39/((SUM(Upland!$O$9,Upland!$O$10,Upland!$O$11,Upland!$O$18)/1000)),0)</f>
        <v>#REF!</v>
      </c>
      <c r="P43" s="69" t="e">
        <f>ROUND(P39/((SUM(Upland!$P$9,Upland!$P$10,Upland!$P$11,Upland!$P$18)/1000)),0)</f>
        <v>#REF!</v>
      </c>
      <c r="Q43" s="69" t="e">
        <f>ROUND(Q39/((SUM(Upland!$Q$9,Upland!$Q$10,Upland!$Q$11,Upland!$Q$18)/1000)),0)</f>
        <v>#REF!</v>
      </c>
      <c r="R43" s="69" t="e">
        <f>ROUND(R39/((SUM(Upland!$R$9,Upland!$R$10,Upland!$R$11,Upland!$R$18)/1000)),0)</f>
        <v>#REF!</v>
      </c>
      <c r="S43" s="69" t="e">
        <f>ROUND(S39/((SUM(Upland!$S$9,Upland!$S$10,Upland!$S$11,Upland!$S$18)/1000)),0)</f>
        <v>#REF!</v>
      </c>
      <c r="T43" s="69" t="e">
        <f>ROUND(T39/((SUM(Upland!$T$9,Upland!$T$10,Upland!$T$11,Upland!$T$18)/1000)),0)</f>
        <v>#REF!</v>
      </c>
      <c r="U43" s="69" t="e">
        <f>ROUND(U39/((SUM(Upland!$U$9,Upland!$U$10,Upland!$U$11,Upland!$U$18)/1000)),0)</f>
        <v>#REF!</v>
      </c>
      <c r="V43" s="69" t="e">
        <f>ROUND(V39/((SUM(Upland!$V$9,Upland!$V$10,Upland!$V$11,Upland!$V$18)/1000)),0)</f>
        <v>#REF!</v>
      </c>
      <c r="W43" s="69"/>
    </row>
    <row r="44" spans="1:23" ht="18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</row>
    <row r="45" spans="1:23" ht="18">
      <c r="A45" s="69" t="s">
        <v>401</v>
      </c>
      <c r="B45" s="69">
        <f>ROUND((B19/1000-B38)/(SUM(Upland!$B$9,Upland!$B$10,Upland!$B$11,Upland!$B$18)/1000),0)</f>
        <v>100</v>
      </c>
      <c r="C45" s="69">
        <f>ROUND((C19/1000-C38)/(SUM(Upland!$C$9,Upland!$C$10,Upland!$C$11,Upland!$C$18)/1000),0)</f>
        <v>83</v>
      </c>
      <c r="D45" s="69">
        <f>ROUND((D19/1000-D38)/(SUM(Upland!$D$9,Upland!$D$10,Upland!$D$11,Upland!$D$18)/1000),0)</f>
        <v>99</v>
      </c>
      <c r="E45" s="69">
        <f>ROUND((E19/1000-E38)/(SUM(Upland!$E$9,Upland!$E$10,Upland!$E$11,Upland!$E$18)/1000),0)</f>
        <v>236</v>
      </c>
      <c r="F45" s="69">
        <f>ROUND((F19/1000-F38)/(SUM(Upland!$F$9,Upland!$F$10,Upland!$F$11,Upland!$F$18)/1000),0)</f>
        <v>124</v>
      </c>
      <c r="G45" s="69" t="e">
        <f>ROUND((G19/1000-G38)/(SUM(Upland!$G$9,Upland!$G$10,Upland!$G$11,Upland!$G$18)/1000),0)</f>
        <v>#REF!</v>
      </c>
      <c r="H45" s="69">
        <f>ROUND((H19/1000-H38)/(SUM(Upland!$H$9,Upland!$H$10,Upland!$H$11,Upland!$H$18)/1000),0)</f>
        <v>181</v>
      </c>
      <c r="I45" s="69">
        <f>ROUND((I19/1000-I38)/(SUM(Upland!$I$9,Upland!$I$10,Upland!$I$11,Upland!$I$18)/1000),0)</f>
        <v>94</v>
      </c>
      <c r="J45" s="69">
        <f>ROUND((J19/1000-J38)/(SUM(Upland!$J$9,Upland!$J$10,Upland!$J$11,Upland!$J$18)/1000),0)</f>
        <v>7</v>
      </c>
      <c r="K45" s="69">
        <f>ROUND((K19/1000-K38)/(SUM(Upland!$K$9,Upland!$K$10,Upland!$K$11,Upland!$K$18)/1000),0)</f>
        <v>10</v>
      </c>
      <c r="L45" s="69">
        <f>ROUND((L19/1000-L38)/(SUM(Upland!$L$9,Upland!$L$10,Upland!$L$11,Upland!$L$18)/1000),0)</f>
        <v>-75</v>
      </c>
      <c r="M45" s="69">
        <f>ROUND((M19/1000-M38)/(SUM(Upland!$M$9,Upland!$M$10,Upland!$M$11,Upland!$M$18)/1000),0)</f>
        <v>-14</v>
      </c>
      <c r="N45" s="69">
        <f>ROUND((N19/1000-N38)/(SUM(Upland!$N$9,Upland!$N$10,Upland!$N$11,Upland!$N$18)/1000),0)</f>
        <v>127</v>
      </c>
      <c r="O45" s="69" t="e">
        <f>ROUND((O19/1000-O38)/(SUM(Upland!$O$9,Upland!$O$10,Upland!$O$11,Upland!$O$18)/1000),0)</f>
        <v>#REF!</v>
      </c>
      <c r="P45" s="69" t="e">
        <f>ROUND((P19/1000-P38)/(SUM(Upland!$P$9,Upland!$P$10,Upland!$P$11,Upland!$P$18)/1000),0)</f>
        <v>#REF!</v>
      </c>
      <c r="Q45" s="69" t="e">
        <f>ROUND((Q19/1000-Q38)/(SUM(Upland!$Q$9,Upland!$Q$10,Upland!$Q$11,Upland!$Q$18)/1000),0)</f>
        <v>#REF!</v>
      </c>
      <c r="R45" s="69" t="e">
        <f>ROUND((R19/1000-R38)/(SUM(Upland!$R$9,Upland!$R$10,Upland!$R$11,Upland!$R$18)/1000),0)</f>
        <v>#REF!</v>
      </c>
      <c r="S45" s="69" t="e">
        <f>ROUND((S19/1000-S38)/(SUM(Upland!$S$9,Upland!$S$10,Upland!$S$11,Upland!$S$18)/1000),0)</f>
        <v>#REF!</v>
      </c>
      <c r="T45" s="69">
        <f>ROUND((T19/1000-T38)/(SUM(Upland!$T$9,Upland!$T$10,Upland!$T$11,Upland!$T$18)/1000),0)</f>
        <v>92</v>
      </c>
      <c r="U45" s="69">
        <f>ROUND((U19/1000-U38)/(SUM(Upland!$U$9,Upland!$U$10,Upland!$U$11,Upland!$U$18)/1000),0)</f>
        <v>130</v>
      </c>
      <c r="V45" s="69">
        <f>ROUND((V19/1000-V38)/(SUM(Upland!$V$9,Upland!$V$10,Upland!$V$11,Upland!$V$18)/1000),0)</f>
        <v>181</v>
      </c>
      <c r="W45" s="69"/>
    </row>
    <row r="46" spans="1:23" ht="18">
      <c r="A46" s="69" t="s">
        <v>402</v>
      </c>
      <c r="B46" s="69" t="e">
        <f aca="true" t="shared" si="8" ref="B46:V46">B43</f>
        <v>#REF!</v>
      </c>
      <c r="C46" s="69">
        <f t="shared" si="8"/>
        <v>212</v>
      </c>
      <c r="D46" s="69">
        <f t="shared" si="8"/>
        <v>219</v>
      </c>
      <c r="E46" s="69">
        <f t="shared" si="8"/>
        <v>254</v>
      </c>
      <c r="F46" s="69">
        <f t="shared" si="8"/>
        <v>124</v>
      </c>
      <c r="G46" s="69" t="e">
        <f t="shared" si="8"/>
        <v>#REF!</v>
      </c>
      <c r="H46" s="69">
        <f t="shared" si="8"/>
        <v>227</v>
      </c>
      <c r="I46" s="69">
        <f t="shared" si="8"/>
        <v>207</v>
      </c>
      <c r="J46" s="69">
        <f t="shared" si="8"/>
        <v>202</v>
      </c>
      <c r="K46" s="69">
        <f t="shared" si="8"/>
        <v>131</v>
      </c>
      <c r="L46" s="69">
        <f t="shared" si="8"/>
        <v>160</v>
      </c>
      <c r="M46" s="69">
        <f t="shared" si="8"/>
        <v>198</v>
      </c>
      <c r="N46" s="69">
        <f t="shared" si="8"/>
        <v>217</v>
      </c>
      <c r="O46" s="69" t="e">
        <f t="shared" si="8"/>
        <v>#REF!</v>
      </c>
      <c r="P46" s="69" t="e">
        <f t="shared" si="8"/>
        <v>#REF!</v>
      </c>
      <c r="Q46" s="69" t="e">
        <f t="shared" si="8"/>
        <v>#REF!</v>
      </c>
      <c r="R46" s="69" t="e">
        <f t="shared" si="8"/>
        <v>#REF!</v>
      </c>
      <c r="S46" s="69" t="e">
        <f t="shared" si="8"/>
        <v>#REF!</v>
      </c>
      <c r="T46" s="69" t="e">
        <f t="shared" si="8"/>
        <v>#REF!</v>
      </c>
      <c r="U46" s="69" t="e">
        <f t="shared" si="8"/>
        <v>#REF!</v>
      </c>
      <c r="V46" s="69" t="e">
        <f t="shared" si="8"/>
        <v>#REF!</v>
      </c>
      <c r="W46" s="69"/>
    </row>
  </sheetData>
  <printOptions/>
  <pageMargins left="0.6" right="0.42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G54" sqref="G54"/>
    </sheetView>
  </sheetViews>
  <sheetFormatPr defaultColWidth="8.66015625" defaultRowHeight="18"/>
  <cols>
    <col min="1" max="1" width="18.41015625" style="0" customWidth="1"/>
    <col min="2" max="3" width="9.5" style="0" customWidth="1"/>
    <col min="4" max="4" width="10.66015625" style="0" customWidth="1"/>
  </cols>
  <sheetData>
    <row r="1" spans="2:6" ht="18">
      <c r="B1" s="107" t="s">
        <v>422</v>
      </c>
      <c r="C1" s="107"/>
      <c r="D1" s="107"/>
      <c r="E1" s="107"/>
      <c r="F1" s="107"/>
    </row>
    <row r="2" spans="2:6" ht="18">
      <c r="B2" s="107" t="s">
        <v>430</v>
      </c>
      <c r="C2" s="107"/>
      <c r="D2" s="107"/>
      <c r="E2" s="107"/>
      <c r="F2" s="107"/>
    </row>
    <row r="3" spans="3:6" ht="18">
      <c r="C3" s="106"/>
      <c r="D3" s="106">
        <v>39825</v>
      </c>
      <c r="E3" s="106"/>
      <c r="F3" s="106"/>
    </row>
    <row r="6" spans="1:7" ht="18">
      <c r="A6" s="97" t="s">
        <v>409</v>
      </c>
      <c r="B6" s="98" t="s">
        <v>419</v>
      </c>
      <c r="C6" s="99" t="s">
        <v>404</v>
      </c>
      <c r="D6" s="99" t="s">
        <v>405</v>
      </c>
      <c r="E6" s="99" t="s">
        <v>406</v>
      </c>
      <c r="F6" s="99" t="s">
        <v>431</v>
      </c>
      <c r="G6" s="99" t="s">
        <v>434</v>
      </c>
    </row>
    <row r="7" spans="1:5" ht="18">
      <c r="A7" s="100"/>
      <c r="B7" s="101"/>
      <c r="C7" s="102"/>
      <c r="D7" s="102"/>
      <c r="E7" s="102"/>
    </row>
    <row r="8" spans="1:5" ht="18">
      <c r="A8" s="97" t="s">
        <v>410</v>
      </c>
      <c r="B8" s="101"/>
      <c r="C8" s="102"/>
      <c r="D8" s="102"/>
      <c r="E8" s="102"/>
    </row>
    <row r="9" spans="1:7" ht="18">
      <c r="A9" s="103" t="s">
        <v>423</v>
      </c>
      <c r="B9" s="101" t="s">
        <v>426</v>
      </c>
      <c r="C9" s="104">
        <v>13409</v>
      </c>
      <c r="D9" s="104">
        <v>13975</v>
      </c>
      <c r="E9" s="104">
        <v>14948</v>
      </c>
      <c r="F9" s="104">
        <v>10535</v>
      </c>
      <c r="G9" s="104">
        <v>9296</v>
      </c>
    </row>
    <row r="10" spans="1:7" ht="18">
      <c r="A10" s="103" t="s">
        <v>424</v>
      </c>
      <c r="B10" s="101" t="s">
        <v>427</v>
      </c>
      <c r="C10" s="104">
        <v>12809</v>
      </c>
      <c r="D10" s="104">
        <v>13534</v>
      </c>
      <c r="E10" s="104">
        <v>12408</v>
      </c>
      <c r="F10" s="104">
        <v>10201</v>
      </c>
      <c r="G10" s="104">
        <v>7559</v>
      </c>
    </row>
    <row r="11" spans="1:7" ht="18">
      <c r="A11" s="103" t="s">
        <v>425</v>
      </c>
      <c r="B11" s="101" t="s">
        <v>428</v>
      </c>
      <c r="C11" s="104">
        <v>843</v>
      </c>
      <c r="D11" s="104">
        <v>825</v>
      </c>
      <c r="E11" s="104">
        <v>806</v>
      </c>
      <c r="F11" s="104">
        <v>864</v>
      </c>
      <c r="G11" s="104">
        <v>799</v>
      </c>
    </row>
    <row r="12" spans="1:7" ht="18">
      <c r="A12" s="97"/>
      <c r="B12" s="101"/>
      <c r="C12" s="104"/>
      <c r="D12" s="104"/>
      <c r="E12" s="104"/>
      <c r="F12" s="104"/>
      <c r="G12" s="104"/>
    </row>
    <row r="13" spans="1:7" ht="18">
      <c r="A13" s="100" t="s">
        <v>411</v>
      </c>
      <c r="B13" s="101" t="s">
        <v>429</v>
      </c>
      <c r="C13" s="104">
        <v>3383.6999999999907</v>
      </c>
      <c r="D13" s="104">
        <v>5482.1</v>
      </c>
      <c r="E13" s="104">
        <v>5991.099999999991</v>
      </c>
      <c r="F13" s="104">
        <v>9337.69999999999</v>
      </c>
      <c r="G13" s="104">
        <v>9904.89999999999</v>
      </c>
    </row>
    <row r="14" spans="1:7" ht="18">
      <c r="A14" s="100" t="s">
        <v>412</v>
      </c>
      <c r="B14" s="101" t="s">
        <v>427</v>
      </c>
      <c r="C14" s="104">
        <v>22505.4</v>
      </c>
      <c r="D14" s="104">
        <v>23260</v>
      </c>
      <c r="E14" s="104">
        <v>20822.6</v>
      </c>
      <c r="F14" s="104">
        <v>18355.2</v>
      </c>
      <c r="G14" s="104">
        <v>12589.4</v>
      </c>
    </row>
    <row r="15" spans="1:7" ht="18">
      <c r="A15" s="100" t="s">
        <v>413</v>
      </c>
      <c r="B15" s="101" t="s">
        <v>427</v>
      </c>
      <c r="C15" s="105">
        <v>8</v>
      </c>
      <c r="D15" s="105">
        <v>9</v>
      </c>
      <c r="E15" s="105">
        <v>10</v>
      </c>
      <c r="F15" s="105">
        <v>6</v>
      </c>
      <c r="G15" s="105">
        <v>5</v>
      </c>
    </row>
    <row r="16" spans="1:7" ht="18">
      <c r="A16" s="100" t="s">
        <v>414</v>
      </c>
      <c r="B16" s="101" t="s">
        <v>427</v>
      </c>
      <c r="C16" s="104">
        <v>25897.1</v>
      </c>
      <c r="D16" s="104">
        <v>28751.1</v>
      </c>
      <c r="E16" s="104">
        <v>26823.7</v>
      </c>
      <c r="F16" s="104">
        <v>27698.9</v>
      </c>
      <c r="G16" s="104">
        <v>22499.3</v>
      </c>
    </row>
    <row r="17" spans="1:7" ht="18">
      <c r="A17" s="100"/>
      <c r="B17" s="101"/>
      <c r="C17" s="104"/>
      <c r="D17" s="104"/>
      <c r="E17" s="104"/>
      <c r="F17" s="104"/>
      <c r="G17" s="104"/>
    </row>
    <row r="18" spans="1:7" ht="18">
      <c r="A18" s="100" t="s">
        <v>415</v>
      </c>
      <c r="B18" s="101" t="s">
        <v>427</v>
      </c>
      <c r="C18" s="104">
        <v>6629</v>
      </c>
      <c r="D18" s="104">
        <v>5820</v>
      </c>
      <c r="E18" s="104">
        <v>4896</v>
      </c>
      <c r="F18" s="104">
        <v>4573</v>
      </c>
      <c r="G18" s="104">
        <v>4170</v>
      </c>
    </row>
    <row r="19" spans="1:7" ht="18">
      <c r="A19" s="100" t="s">
        <v>416</v>
      </c>
      <c r="B19" s="101" t="s">
        <v>427</v>
      </c>
      <c r="C19" s="105">
        <v>13683</v>
      </c>
      <c r="D19" s="105">
        <v>17029</v>
      </c>
      <c r="E19" s="105">
        <v>12338</v>
      </c>
      <c r="F19" s="105">
        <v>12820</v>
      </c>
      <c r="G19" s="105">
        <v>11550</v>
      </c>
    </row>
    <row r="20" spans="1:7" ht="18">
      <c r="A20" s="100" t="s">
        <v>417</v>
      </c>
      <c r="B20" s="101" t="s">
        <v>427</v>
      </c>
      <c r="C20" s="104">
        <v>20312</v>
      </c>
      <c r="D20" s="104">
        <v>22849</v>
      </c>
      <c r="E20" s="104">
        <v>17234</v>
      </c>
      <c r="F20" s="104">
        <v>17393</v>
      </c>
      <c r="G20" s="104">
        <v>15720</v>
      </c>
    </row>
    <row r="21" spans="1:7" ht="18">
      <c r="A21" s="100"/>
      <c r="B21" s="101"/>
      <c r="C21" s="104"/>
      <c r="D21" s="104"/>
      <c r="E21" s="104"/>
      <c r="F21" s="104"/>
      <c r="G21" s="104"/>
    </row>
    <row r="22" spans="1:7" ht="18">
      <c r="A22" s="100" t="s">
        <v>420</v>
      </c>
      <c r="B22" s="101" t="s">
        <v>427</v>
      </c>
      <c r="C22" s="104">
        <v>-102.99999999999636</v>
      </c>
      <c r="D22" s="104">
        <v>88.99999999999636</v>
      </c>
      <c r="E22" s="104">
        <v>-252</v>
      </c>
      <c r="F22" s="104">
        <v>-401</v>
      </c>
      <c r="G22" s="104">
        <v>20</v>
      </c>
    </row>
    <row r="23" spans="1:7" ht="18">
      <c r="A23" s="100" t="s">
        <v>418</v>
      </c>
      <c r="B23" s="101" t="s">
        <v>427</v>
      </c>
      <c r="C23" s="104">
        <v>5482.1</v>
      </c>
      <c r="D23" s="104">
        <v>5991.099999999991</v>
      </c>
      <c r="E23" s="104">
        <v>9337.69999999999</v>
      </c>
      <c r="F23" s="104">
        <v>9904.89999999999</v>
      </c>
      <c r="G23" s="104">
        <v>6799.299999999988</v>
      </c>
    </row>
    <row r="24" spans="1:7" ht="18">
      <c r="A24" s="102"/>
      <c r="B24" s="101"/>
      <c r="C24" s="104"/>
      <c r="D24" s="104"/>
      <c r="E24" s="104"/>
      <c r="F24" s="104"/>
      <c r="G24" s="104"/>
    </row>
    <row r="25" spans="1:7" ht="18">
      <c r="A25" s="97" t="s">
        <v>403</v>
      </c>
      <c r="B25" s="101"/>
      <c r="C25" s="104"/>
      <c r="D25" s="104"/>
      <c r="E25" s="104"/>
      <c r="F25" s="104"/>
      <c r="G25" s="104"/>
    </row>
    <row r="26" spans="1:7" ht="18">
      <c r="A26" s="103" t="s">
        <v>423</v>
      </c>
      <c r="B26" s="101" t="s">
        <v>426</v>
      </c>
      <c r="C26" s="104">
        <v>249.6</v>
      </c>
      <c r="D26" s="104">
        <v>270.4</v>
      </c>
      <c r="E26" s="104">
        <v>326</v>
      </c>
      <c r="F26" s="104">
        <v>292.2</v>
      </c>
      <c r="G26" s="104">
        <v>174</v>
      </c>
    </row>
    <row r="27" spans="1:7" ht="18">
      <c r="A27" s="103" t="s">
        <v>424</v>
      </c>
      <c r="B27" s="101" t="s">
        <v>427</v>
      </c>
      <c r="C27" s="104">
        <v>248</v>
      </c>
      <c r="D27" s="104">
        <v>268.6</v>
      </c>
      <c r="E27" s="104">
        <v>323.5</v>
      </c>
      <c r="F27" s="104">
        <v>288.1</v>
      </c>
      <c r="G27" s="104">
        <v>169.4</v>
      </c>
    </row>
    <row r="28" spans="1:7" ht="18">
      <c r="A28" s="103" t="s">
        <v>425</v>
      </c>
      <c r="B28" s="101" t="s">
        <v>428</v>
      </c>
      <c r="C28" s="104">
        <v>1443</v>
      </c>
      <c r="D28" s="104">
        <v>1127</v>
      </c>
      <c r="E28" s="104">
        <v>1136</v>
      </c>
      <c r="F28" s="104">
        <v>1419</v>
      </c>
      <c r="G28" s="104">
        <v>1265</v>
      </c>
    </row>
    <row r="29" spans="1:7" ht="18">
      <c r="A29" s="97"/>
      <c r="B29" s="101"/>
      <c r="C29" s="104"/>
      <c r="D29" s="104"/>
      <c r="E29" s="104"/>
      <c r="F29" s="104"/>
      <c r="G29" s="104"/>
    </row>
    <row r="30" spans="1:7" ht="18">
      <c r="A30" s="100" t="s">
        <v>411</v>
      </c>
      <c r="B30" s="101" t="s">
        <v>429</v>
      </c>
      <c r="C30" s="104">
        <v>66.3</v>
      </c>
      <c r="D30" s="104">
        <v>12.9</v>
      </c>
      <c r="E30" s="104">
        <v>77.9</v>
      </c>
      <c r="F30" s="104">
        <v>141.3</v>
      </c>
      <c r="G30" s="104">
        <v>139</v>
      </c>
    </row>
    <row r="31" spans="1:7" ht="18">
      <c r="A31" s="100" t="s">
        <v>412</v>
      </c>
      <c r="B31" s="101" t="s">
        <v>427</v>
      </c>
      <c r="C31" s="104">
        <v>745.6</v>
      </c>
      <c r="D31" s="104">
        <v>630</v>
      </c>
      <c r="E31" s="104">
        <v>765.4</v>
      </c>
      <c r="F31" s="104">
        <v>851.8</v>
      </c>
      <c r="G31" s="104">
        <v>446.6</v>
      </c>
    </row>
    <row r="32" spans="1:7" ht="18">
      <c r="A32" s="100" t="s">
        <v>413</v>
      </c>
      <c r="B32" s="101" t="s">
        <v>427</v>
      </c>
      <c r="C32" s="105">
        <v>21</v>
      </c>
      <c r="D32" s="105">
        <v>19</v>
      </c>
      <c r="E32" s="105">
        <v>9</v>
      </c>
      <c r="F32" s="105">
        <v>6</v>
      </c>
      <c r="G32" s="105">
        <v>5</v>
      </c>
    </row>
    <row r="33" spans="1:7" ht="18">
      <c r="A33" s="100" t="s">
        <v>414</v>
      </c>
      <c r="B33" s="101" t="s">
        <v>427</v>
      </c>
      <c r="C33" s="104">
        <v>832.9</v>
      </c>
      <c r="D33" s="104">
        <v>661.9</v>
      </c>
      <c r="E33" s="104">
        <v>852.3</v>
      </c>
      <c r="F33" s="104">
        <v>999.1</v>
      </c>
      <c r="G33" s="104">
        <v>590.6</v>
      </c>
    </row>
    <row r="34" spans="1:7" ht="18">
      <c r="A34" s="100"/>
      <c r="B34" s="101"/>
      <c r="C34" s="104"/>
      <c r="D34" s="104"/>
      <c r="E34" s="104"/>
      <c r="F34" s="104"/>
      <c r="G34" s="104"/>
    </row>
    <row r="35" spans="1:7" ht="18">
      <c r="A35" s="100" t="s">
        <v>415</v>
      </c>
      <c r="B35" s="101" t="s">
        <v>427</v>
      </c>
      <c r="C35" s="104">
        <v>62</v>
      </c>
      <c r="D35" s="104">
        <v>51</v>
      </c>
      <c r="E35" s="104">
        <v>39</v>
      </c>
      <c r="F35" s="104">
        <v>36</v>
      </c>
      <c r="G35" s="104">
        <v>30</v>
      </c>
    </row>
    <row r="36" spans="1:7" ht="18">
      <c r="A36" s="100" t="s">
        <v>416</v>
      </c>
      <c r="B36" s="101" t="s">
        <v>427</v>
      </c>
      <c r="C36" s="105">
        <v>753</v>
      </c>
      <c r="D36" s="105">
        <v>520</v>
      </c>
      <c r="E36" s="105">
        <v>672</v>
      </c>
      <c r="F36" s="105">
        <v>833</v>
      </c>
      <c r="G36" s="105">
        <v>450</v>
      </c>
    </row>
    <row r="37" spans="1:7" ht="18">
      <c r="A37" s="100" t="s">
        <v>417</v>
      </c>
      <c r="B37" s="101" t="s">
        <v>427</v>
      </c>
      <c r="C37" s="104">
        <v>815</v>
      </c>
      <c r="D37" s="104">
        <v>571</v>
      </c>
      <c r="E37" s="104">
        <v>711</v>
      </c>
      <c r="F37" s="104">
        <v>869</v>
      </c>
      <c r="G37" s="104">
        <v>480</v>
      </c>
    </row>
    <row r="38" spans="1:7" ht="18">
      <c r="A38" s="100"/>
      <c r="B38" s="101"/>
      <c r="C38" s="104"/>
      <c r="D38" s="104"/>
      <c r="E38" s="104"/>
      <c r="F38" s="104"/>
      <c r="G38" s="104"/>
    </row>
    <row r="39" spans="1:7" ht="18">
      <c r="A39" s="100" t="s">
        <v>420</v>
      </c>
      <c r="B39" s="101" t="s">
        <v>427</v>
      </c>
      <c r="C39" s="104">
        <v>-5</v>
      </c>
      <c r="D39" s="104">
        <v>-13</v>
      </c>
      <c r="E39" s="104">
        <v>0</v>
      </c>
      <c r="F39" s="104">
        <v>8.900000000000091</v>
      </c>
      <c r="G39" s="104">
        <v>-10</v>
      </c>
    </row>
    <row r="40" spans="1:7" ht="18">
      <c r="A40" s="100" t="s">
        <v>418</v>
      </c>
      <c r="B40" s="101" t="s">
        <v>427</v>
      </c>
      <c r="C40" s="104">
        <v>12.9</v>
      </c>
      <c r="D40" s="104">
        <v>77.9</v>
      </c>
      <c r="E40" s="104">
        <v>141.3</v>
      </c>
      <c r="F40" s="104">
        <v>139</v>
      </c>
      <c r="G40" s="104">
        <v>100.6</v>
      </c>
    </row>
    <row r="41" spans="1:7" ht="18">
      <c r="A41" s="102"/>
      <c r="B41" s="101"/>
      <c r="C41" s="104"/>
      <c r="D41" s="104"/>
      <c r="E41" s="104"/>
      <c r="F41" s="104"/>
      <c r="G41" s="104"/>
    </row>
    <row r="42" spans="1:7" ht="18">
      <c r="A42" s="97" t="s">
        <v>421</v>
      </c>
      <c r="B42" s="101"/>
      <c r="C42" s="104"/>
      <c r="D42" s="104"/>
      <c r="E42" s="104"/>
      <c r="F42" s="104"/>
      <c r="G42" s="104"/>
    </row>
    <row r="43" spans="1:7" ht="18">
      <c r="A43" s="103" t="s">
        <v>423</v>
      </c>
      <c r="B43" s="101" t="s">
        <v>426</v>
      </c>
      <c r="C43" s="104">
        <v>13658.6</v>
      </c>
      <c r="D43" s="104">
        <v>14245.4</v>
      </c>
      <c r="E43" s="104">
        <v>15274</v>
      </c>
      <c r="F43" s="104">
        <v>10827.2</v>
      </c>
      <c r="G43" s="104">
        <v>9470</v>
      </c>
    </row>
    <row r="44" spans="1:7" ht="18">
      <c r="A44" s="103" t="s">
        <v>424</v>
      </c>
      <c r="B44" s="101" t="s">
        <v>427</v>
      </c>
      <c r="C44" s="104">
        <v>13057</v>
      </c>
      <c r="D44" s="104">
        <v>13802.6</v>
      </c>
      <c r="E44" s="104">
        <v>12731.5</v>
      </c>
      <c r="F44" s="104">
        <v>10489.1</v>
      </c>
      <c r="G44" s="104">
        <v>7728.4</v>
      </c>
    </row>
    <row r="45" spans="1:7" ht="18">
      <c r="A45" s="103" t="s">
        <v>425</v>
      </c>
      <c r="B45" s="101" t="s">
        <v>428</v>
      </c>
      <c r="C45" s="104">
        <v>855</v>
      </c>
      <c r="D45" s="104">
        <v>831</v>
      </c>
      <c r="E45" s="104">
        <v>814</v>
      </c>
      <c r="F45" s="104">
        <v>879</v>
      </c>
      <c r="G45" s="104">
        <v>810</v>
      </c>
    </row>
    <row r="46" spans="1:7" ht="18">
      <c r="A46" s="97"/>
      <c r="B46" s="101"/>
      <c r="C46" s="104"/>
      <c r="D46" s="104"/>
      <c r="E46" s="104"/>
      <c r="F46" s="104"/>
      <c r="G46" s="104"/>
    </row>
    <row r="47" spans="1:7" ht="18">
      <c r="A47" s="100" t="s">
        <v>411</v>
      </c>
      <c r="B47" s="101" t="s">
        <v>429</v>
      </c>
      <c r="C47" s="104">
        <v>3449.999999999991</v>
      </c>
      <c r="D47" s="104">
        <v>5494.9999999999945</v>
      </c>
      <c r="E47" s="104">
        <v>6068.999999999991</v>
      </c>
      <c r="F47" s="104">
        <v>9478.999999999989</v>
      </c>
      <c r="G47" s="104">
        <v>10043.9</v>
      </c>
    </row>
    <row r="48" spans="1:7" ht="18">
      <c r="A48" s="100" t="s">
        <v>412</v>
      </c>
      <c r="B48" s="101" t="s">
        <v>427</v>
      </c>
      <c r="C48" s="104">
        <v>23251</v>
      </c>
      <c r="D48" s="104">
        <v>23890</v>
      </c>
      <c r="E48" s="104">
        <v>21588</v>
      </c>
      <c r="F48" s="104">
        <v>19207</v>
      </c>
      <c r="G48" s="104">
        <v>13036</v>
      </c>
    </row>
    <row r="49" spans="1:7" ht="18">
      <c r="A49" s="100" t="s">
        <v>413</v>
      </c>
      <c r="B49" s="101" t="s">
        <v>427</v>
      </c>
      <c r="C49" s="105">
        <v>29</v>
      </c>
      <c r="D49" s="105">
        <v>28</v>
      </c>
      <c r="E49" s="105">
        <v>19</v>
      </c>
      <c r="F49" s="105">
        <v>12</v>
      </c>
      <c r="G49" s="105">
        <v>10</v>
      </c>
    </row>
    <row r="50" spans="1:7" ht="18">
      <c r="A50" s="100" t="s">
        <v>414</v>
      </c>
      <c r="B50" s="101" t="s">
        <v>427</v>
      </c>
      <c r="C50" s="104">
        <v>26730</v>
      </c>
      <c r="D50" s="104">
        <v>29413</v>
      </c>
      <c r="E50" s="104">
        <v>27676</v>
      </c>
      <c r="F50" s="104">
        <v>28698</v>
      </c>
      <c r="G50" s="104">
        <v>23089.9</v>
      </c>
    </row>
    <row r="51" spans="1:7" ht="18">
      <c r="A51" s="100"/>
      <c r="B51" s="101"/>
      <c r="C51" s="104"/>
      <c r="D51" s="104"/>
      <c r="E51" s="104"/>
      <c r="F51" s="104"/>
      <c r="G51" s="104"/>
    </row>
    <row r="52" spans="1:7" ht="18">
      <c r="A52" s="100" t="s">
        <v>415</v>
      </c>
      <c r="B52" s="101" t="s">
        <v>427</v>
      </c>
      <c r="C52" s="104">
        <v>6691</v>
      </c>
      <c r="D52" s="104">
        <v>5871</v>
      </c>
      <c r="E52" s="104">
        <v>4935</v>
      </c>
      <c r="F52" s="104">
        <v>4609</v>
      </c>
      <c r="G52" s="104">
        <v>4200</v>
      </c>
    </row>
    <row r="53" spans="1:7" ht="18">
      <c r="A53" s="100" t="s">
        <v>416</v>
      </c>
      <c r="B53" s="101" t="s">
        <v>427</v>
      </c>
      <c r="C53" s="105">
        <v>14436</v>
      </c>
      <c r="D53" s="105">
        <v>17549</v>
      </c>
      <c r="E53" s="105">
        <v>13010</v>
      </c>
      <c r="F53" s="105">
        <v>13653</v>
      </c>
      <c r="G53" s="105">
        <v>12000</v>
      </c>
    </row>
    <row r="54" spans="1:7" ht="18">
      <c r="A54" s="100" t="s">
        <v>417</v>
      </c>
      <c r="B54" s="101" t="s">
        <v>427</v>
      </c>
      <c r="C54" s="104">
        <v>21127</v>
      </c>
      <c r="D54" s="104">
        <v>23420</v>
      </c>
      <c r="E54" s="104">
        <v>17945</v>
      </c>
      <c r="F54" s="104">
        <v>18262</v>
      </c>
      <c r="G54" s="104">
        <v>16200</v>
      </c>
    </row>
    <row r="55" spans="1:7" ht="18">
      <c r="A55" s="100"/>
      <c r="B55" s="101"/>
      <c r="C55" s="104"/>
      <c r="D55" s="104"/>
      <c r="E55" s="104"/>
      <c r="F55" s="104"/>
      <c r="G55" s="104"/>
    </row>
    <row r="56" spans="1:7" ht="18">
      <c r="A56" s="100" t="s">
        <v>420</v>
      </c>
      <c r="B56" s="101" t="s">
        <v>427</v>
      </c>
      <c r="C56" s="104">
        <v>-107.99999999999636</v>
      </c>
      <c r="D56" s="104">
        <v>75.99999999999636</v>
      </c>
      <c r="E56" s="104">
        <v>-252</v>
      </c>
      <c r="F56" s="104">
        <v>-392.1</v>
      </c>
      <c r="G56" s="104">
        <v>10</v>
      </c>
    </row>
    <row r="57" spans="1:7" ht="18">
      <c r="A57" s="100" t="s">
        <v>418</v>
      </c>
      <c r="B57" s="101" t="s">
        <v>427</v>
      </c>
      <c r="C57" s="104">
        <v>5494.9999999999945</v>
      </c>
      <c r="D57" s="104">
        <v>6068.999999999991</v>
      </c>
      <c r="E57" s="104">
        <v>9478.999999999989</v>
      </c>
      <c r="F57" s="104">
        <v>10043.9</v>
      </c>
      <c r="G57" s="104">
        <v>6899.899999999989</v>
      </c>
    </row>
    <row r="59" spans="1:7" ht="18">
      <c r="A59" s="100"/>
      <c r="C59" s="102"/>
      <c r="D59" s="102"/>
      <c r="E59" s="102"/>
      <c r="F59" s="102"/>
      <c r="G59" s="102"/>
    </row>
  </sheetData>
  <mergeCells count="2">
    <mergeCell ref="B1:F1"/>
    <mergeCell ref="B2:F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 Skelly</cp:lastModifiedBy>
  <cp:lastPrinted>2008-12-11T13:12:11Z</cp:lastPrinted>
  <dcterms:created xsi:type="dcterms:W3CDTF">2006-04-07T16:55:12Z</dcterms:created>
  <dcterms:modified xsi:type="dcterms:W3CDTF">2009-01-12T11:12:03Z</dcterms:modified>
  <cp:category/>
  <cp:version/>
  <cp:contentType/>
  <cp:contentStatus/>
</cp:coreProperties>
</file>