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Incident Rates" sheetId="1" r:id="rId1"/>
    <sheet name="PM Summary Table 00" sheetId="2" r:id="rId2"/>
    <sheet name="2" sheetId="3" r:id="rId3"/>
  </sheets>
  <definedNames>
    <definedName name="_xlnm.Print_Area" localSheetId="1">'PM Summary Table 00'!$A:$IV</definedName>
  </definedNames>
  <calcPr fullCalcOnLoad="1"/>
</workbook>
</file>

<file path=xl/sharedStrings.xml><?xml version="1.0" encoding="utf-8"?>
<sst xmlns="http://schemas.openxmlformats.org/spreadsheetml/2006/main" count="269" uniqueCount="93">
  <si>
    <t>Units</t>
  </si>
  <si>
    <t>Total Wells Spudded</t>
  </si>
  <si>
    <t>wells</t>
  </si>
  <si>
    <t>Participants' Wells spudded</t>
  </si>
  <si>
    <t>Total OCS Platform counts</t>
  </si>
  <si>
    <t>platforms</t>
  </si>
  <si>
    <t>Major</t>
  </si>
  <si>
    <t>Minor</t>
  </si>
  <si>
    <t>hrs</t>
  </si>
  <si>
    <t>Company</t>
  </si>
  <si>
    <t>Contractor</t>
  </si>
  <si>
    <t>Contractor % of Total</t>
  </si>
  <si>
    <t>Overall Recordable Injuries/Illnesses</t>
  </si>
  <si>
    <t>Overall Lost Workday Cases</t>
  </si>
  <si>
    <t>OCS Total Production</t>
  </si>
  <si>
    <t>BOE</t>
  </si>
  <si>
    <t>Oil &amp; Condensate Production</t>
  </si>
  <si>
    <t>bbls</t>
  </si>
  <si>
    <t>Gas Production</t>
  </si>
  <si>
    <t>MCF</t>
  </si>
  <si>
    <t>Participants' Production</t>
  </si>
  <si>
    <t>Oil Production</t>
  </si>
  <si>
    <t>Participants' % Oil Production</t>
  </si>
  <si>
    <t>Participants' % Gas Production</t>
  </si>
  <si>
    <t>Participants' % BOE Production</t>
  </si>
  <si>
    <t>PRODUCTION</t>
  </si>
  <si>
    <t>Production Recordables</t>
  </si>
  <si>
    <t>Production Lost Workday Cases</t>
  </si>
  <si>
    <t>DRILLING, WORKOVER, &amp; ALLIED SERVICES</t>
  </si>
  <si>
    <t>Drilling Recordables</t>
  </si>
  <si>
    <t>Drilling Lost Workday Cases</t>
  </si>
  <si>
    <t xml:space="preserve">CONSTRUCTION </t>
  </si>
  <si>
    <t>Construction Recordables</t>
  </si>
  <si>
    <t>Construction Lostworkday Cases</t>
  </si>
  <si>
    <t>Drilling</t>
  </si>
  <si>
    <t>Production</t>
  </si>
  <si>
    <t>Participants' Platforms counts</t>
  </si>
  <si>
    <t>Total OCS Blowouts</t>
  </si>
  <si>
    <t>Total OCS INCs</t>
  </si>
  <si>
    <t>Total OCS Rigs Inspected</t>
  </si>
  <si>
    <t>Total OCS Components Inspected</t>
  </si>
  <si>
    <t>&lt;1 bbl</t>
  </si>
  <si>
    <t>Participants' Data</t>
  </si>
  <si>
    <t>COMBINED OPERATIONS</t>
  </si>
  <si>
    <t>blowouts</t>
  </si>
  <si>
    <t>INCs</t>
  </si>
  <si>
    <t>rigs</t>
  </si>
  <si>
    <t>components</t>
  </si>
  <si>
    <t>spills</t>
  </si>
  <si>
    <r>
      <t>&gt;</t>
    </r>
    <r>
      <rPr>
        <sz val="10"/>
        <color indexed="8"/>
        <rFont val="Arial"/>
        <family val="2"/>
      </rPr>
      <t xml:space="preserve"> 1 to &lt; 10bbls</t>
    </r>
  </si>
  <si>
    <r>
      <t>&gt;</t>
    </r>
    <r>
      <rPr>
        <sz val="10"/>
        <color indexed="8"/>
        <rFont val="Arial"/>
        <family val="2"/>
      </rPr>
      <t xml:space="preserve"> 10 bbls</t>
    </r>
  </si>
  <si>
    <t>Number of  Oil Spills</t>
  </si>
  <si>
    <t>Volume of Oil Spills</t>
  </si>
  <si>
    <t>** Some participants estimated hours worked for one or more years in different categories</t>
  </si>
  <si>
    <t>Construction Hours Worked**</t>
  </si>
  <si>
    <t>Drilling Hours Worked**</t>
  </si>
  <si>
    <t>Production Hours Worked**</t>
  </si>
  <si>
    <t>Overall Hours Worked**</t>
  </si>
  <si>
    <t>fires/explo.</t>
  </si>
  <si>
    <t>Total OCS Fires &amp; Explosions</t>
  </si>
  <si>
    <t>BOE Production (5.614MCF/BOE)</t>
  </si>
  <si>
    <t>Production recordable injury/illness</t>
  </si>
  <si>
    <t>PIR</t>
  </si>
  <si>
    <t>Production lost workday case</t>
  </si>
  <si>
    <t>Drilling recordable injury/illness</t>
  </si>
  <si>
    <t>Drilling lost workday case</t>
  </si>
  <si>
    <t>Construction recordable injury/illness</t>
  </si>
  <si>
    <t>Construction lost workday case</t>
  </si>
  <si>
    <t>Combined recordable injury/illness</t>
  </si>
  <si>
    <t>Combined lost workday case</t>
  </si>
  <si>
    <t>Fire/explosion</t>
  </si>
  <si>
    <t>EPA NPDES Noncompliance</t>
  </si>
  <si>
    <t>Well blowout</t>
  </si>
  <si>
    <t>Oil spill number &lt;1 bbl</t>
  </si>
  <si>
    <t>Oil spill number 1 to &lt;10 bbl</t>
  </si>
  <si>
    <t>Oil spill volume &lt;1 bbl</t>
  </si>
  <si>
    <t>Oil spill volume 1 to &lt;10 bbl</t>
  </si>
  <si>
    <t>Oil spill volume all sizes</t>
  </si>
  <si>
    <t>MMS Drilling INC</t>
  </si>
  <si>
    <t>MMS Production INC</t>
  </si>
  <si>
    <t>IIR</t>
  </si>
  <si>
    <t>* Exceedences only 1996 &amp; 1997</t>
  </si>
  <si>
    <t>EPA NPDES Noncompliances*</t>
  </si>
  <si>
    <t>Oil spill number &gt;10 bbl</t>
  </si>
  <si>
    <t>Oil spill volume &gt;10 bbl</t>
  </si>
  <si>
    <t>Rate Type</t>
  </si>
  <si>
    <t>PIR = OCS Participant Incident Rate</t>
  </si>
  <si>
    <t>IIR = OCS Industry Incident Rate</t>
  </si>
  <si>
    <t>INC = Incident of Noncompliance</t>
  </si>
  <si>
    <t>Change</t>
  </si>
  <si>
    <t>Summary of Results for Performance Measures 1996-2001</t>
  </si>
  <si>
    <t>Incident Rates for 1996-2001 Performance Measures</t>
  </si>
  <si>
    <t>Change = % 2001 is higher/lower than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</si>
</sst>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_(* #,##0.0_);_(* \(#,##0.0\);_(* &quot;-&quot;??_);_(@_)"/>
    <numFmt numFmtId="168" formatCode="0.00000"/>
    <numFmt numFmtId="169" formatCode="0.0000"/>
  </numFmts>
  <fonts count="15"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19" xfId="15" applyNumberFormat="1" applyFont="1" applyFill="1" applyBorder="1" applyAlignment="1">
      <alignment/>
    </xf>
    <xf numFmtId="164" fontId="1" fillId="0" borderId="20" xfId="15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165" fontId="1" fillId="0" borderId="19" xfId="19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/>
    </xf>
    <xf numFmtId="164" fontId="1" fillId="0" borderId="11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5" fontId="1" fillId="0" borderId="11" xfId="19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4" fontId="1" fillId="0" borderId="24" xfId="15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165" fontId="1" fillId="0" borderId="24" xfId="19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0" fontId="3" fillId="0" borderId="5" xfId="0" applyNumberFormat="1" applyFont="1" applyFill="1" applyBorder="1" applyAlignment="1">
      <alignment/>
    </xf>
    <xf numFmtId="10" fontId="3" fillId="0" borderId="6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9" fontId="1" fillId="0" borderId="24" xfId="19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10" fontId="3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4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0" fontId="3" fillId="0" borderId="26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3" fillId="0" borderId="5" xfId="15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0" fontId="3" fillId="0" borderId="40" xfId="0" applyNumberFormat="1" applyFont="1" applyFill="1" applyBorder="1" applyAlignment="1">
      <alignment/>
    </xf>
    <xf numFmtId="10" fontId="3" fillId="0" borderId="39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4" fontId="1" fillId="0" borderId="39" xfId="15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165" fontId="1" fillId="0" borderId="0" xfId="19" applyNumberFormat="1" applyFont="1" applyFill="1" applyBorder="1" applyAlignment="1">
      <alignment/>
    </xf>
    <xf numFmtId="164" fontId="3" fillId="0" borderId="19" xfId="15" applyNumberFormat="1" applyFont="1" applyFill="1" applyBorder="1" applyAlignment="1">
      <alignment/>
    </xf>
    <xf numFmtId="164" fontId="3" fillId="0" borderId="20" xfId="15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3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166" fontId="3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164" fontId="3" fillId="0" borderId="6" xfId="0" applyNumberFormat="1" applyFont="1" applyFill="1" applyBorder="1" applyAlignment="1">
      <alignment/>
    </xf>
    <xf numFmtId="164" fontId="1" fillId="0" borderId="25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20" xfId="19" applyNumberFormat="1" applyFont="1" applyFill="1" applyBorder="1" applyAlignment="1">
      <alignment/>
    </xf>
    <xf numFmtId="165" fontId="1" fillId="0" borderId="1" xfId="19" applyNumberFormat="1" applyFont="1" applyFill="1" applyBorder="1" applyAlignment="1">
      <alignment/>
    </xf>
    <xf numFmtId="166" fontId="3" fillId="0" borderId="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9" fontId="1" fillId="0" borderId="25" xfId="19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44" xfId="0" applyFont="1" applyBorder="1" applyAlignment="1">
      <alignment wrapText="1" shrinkToFit="1"/>
    </xf>
    <xf numFmtId="0" fontId="1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30" xfId="0" applyFont="1" applyBorder="1" applyAlignment="1">
      <alignment wrapText="1" shrinkToFi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30" xfId="0" applyFont="1" applyBorder="1" applyAlignment="1">
      <alignment vertical="center" shrinkToFit="1"/>
    </xf>
    <xf numFmtId="0" fontId="13" fillId="0" borderId="11" xfId="0" applyFont="1" applyBorder="1" applyAlignment="1">
      <alignment horizontal="center"/>
    </xf>
    <xf numFmtId="2" fontId="13" fillId="0" borderId="11" xfId="0" applyNumberFormat="1" applyFont="1" applyBorder="1" applyAlignment="1">
      <alignment/>
    </xf>
    <xf numFmtId="9" fontId="12" fillId="0" borderId="12" xfId="19" applyFont="1" applyBorder="1" applyAlignment="1">
      <alignment horizontal="center"/>
    </xf>
    <xf numFmtId="2" fontId="13" fillId="0" borderId="11" xfId="0" applyNumberFormat="1" applyFont="1" applyBorder="1" applyAlignment="1">
      <alignment/>
    </xf>
    <xf numFmtId="166" fontId="13" fillId="0" borderId="11" xfId="0" applyNumberFormat="1" applyFont="1" applyBorder="1" applyAlignment="1">
      <alignment/>
    </xf>
    <xf numFmtId="169" fontId="13" fillId="0" borderId="11" xfId="0" applyNumberFormat="1" applyFont="1" applyBorder="1" applyAlignment="1">
      <alignment/>
    </xf>
    <xf numFmtId="0" fontId="12" fillId="0" borderId="45" xfId="0" applyFont="1" applyBorder="1" applyAlignment="1">
      <alignment vertical="center" shrinkToFit="1"/>
    </xf>
    <xf numFmtId="0" fontId="13" fillId="0" borderId="24" xfId="0" applyFont="1" applyBorder="1" applyAlignment="1">
      <alignment horizontal="center"/>
    </xf>
    <xf numFmtId="166" fontId="13" fillId="0" borderId="24" xfId="0" applyNumberFormat="1" applyFont="1" applyBorder="1" applyAlignment="1">
      <alignment/>
    </xf>
    <xf numFmtId="0" fontId="13" fillId="0" borderId="0" xfId="0" applyFont="1" applyAlignment="1">
      <alignment wrapText="1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6" xfId="0" applyFont="1" applyBorder="1" applyAlignment="1">
      <alignment horizontal="center"/>
    </xf>
    <xf numFmtId="0" fontId="13" fillId="0" borderId="1" xfId="0" applyFont="1" applyBorder="1" applyAlignment="1">
      <alignment/>
    </xf>
    <xf numFmtId="9" fontId="12" fillId="0" borderId="26" xfId="19" applyFont="1" applyBorder="1" applyAlignment="1">
      <alignment horizontal="center"/>
    </xf>
    <xf numFmtId="0" fontId="14" fillId="0" borderId="46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center" vertical="center" wrapText="1" shrinkToFit="1"/>
    </xf>
    <xf numFmtId="0" fontId="14" fillId="0" borderId="4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workbookViewId="0" topLeftCell="A1">
      <selection activeCell="H14" sqref="H14"/>
    </sheetView>
  </sheetViews>
  <sheetFormatPr defaultColWidth="9.140625" defaultRowHeight="12.75"/>
  <cols>
    <col min="2" max="2" width="41.421875" style="135" customWidth="1"/>
    <col min="3" max="3" width="13.7109375" style="137" customWidth="1"/>
    <col min="10" max="10" width="10.00390625" style="0" customWidth="1"/>
  </cols>
  <sheetData>
    <row r="1" ht="13.5" thickBot="1"/>
    <row r="2" spans="2:10" s="136" customFormat="1" ht="28.5" customHeight="1" thickBot="1">
      <c r="B2" s="163" t="s">
        <v>91</v>
      </c>
      <c r="C2" s="164"/>
      <c r="D2" s="164"/>
      <c r="E2" s="164"/>
      <c r="F2" s="164"/>
      <c r="G2" s="164"/>
      <c r="H2" s="164"/>
      <c r="I2" s="164"/>
      <c r="J2" s="165"/>
    </row>
    <row r="3" spans="2:10" ht="15.75">
      <c r="B3" s="138"/>
      <c r="C3" s="139"/>
      <c r="D3" s="140">
        <v>1996</v>
      </c>
      <c r="E3" s="140">
        <v>1997</v>
      </c>
      <c r="F3" s="140">
        <v>1998</v>
      </c>
      <c r="G3" s="140">
        <v>1999</v>
      </c>
      <c r="H3" s="140">
        <v>2000</v>
      </c>
      <c r="I3" s="160">
        <v>2001</v>
      </c>
      <c r="J3" s="141" t="s">
        <v>89</v>
      </c>
    </row>
    <row r="4" spans="2:10" ht="15.75">
      <c r="B4" s="142"/>
      <c r="C4" s="143" t="s">
        <v>85</v>
      </c>
      <c r="D4" s="144"/>
      <c r="E4" s="144"/>
      <c r="F4" s="144"/>
      <c r="G4" s="144"/>
      <c r="H4" s="144"/>
      <c r="I4" s="161"/>
      <c r="J4" s="145"/>
    </row>
    <row r="5" spans="2:10" s="136" customFormat="1" ht="15.75">
      <c r="B5" s="146" t="s">
        <v>61</v>
      </c>
      <c r="C5" s="147" t="s">
        <v>62</v>
      </c>
      <c r="D5" s="148">
        <f>+('PM Summary Table 00'!E65)/('PM Summary Table 00'!E61)*200000</f>
        <v>3.5274567018614014</v>
      </c>
      <c r="E5" s="148">
        <f>+('PM Summary Table 00'!F65)/('PM Summary Table 00'!F61)*200000</f>
        <v>2.989500384344878</v>
      </c>
      <c r="F5" s="148">
        <f>+('PM Summary Table 00'!G65)/('PM Summary Table 00'!G61)*200000</f>
        <v>2.953129909065778</v>
      </c>
      <c r="G5" s="148">
        <f>+('PM Summary Table 00'!H65)/('PM Summary Table 00'!H61)*200000</f>
        <v>2.180231433213336</v>
      </c>
      <c r="H5" s="148">
        <f>+('PM Summary Table 00'!I65)/('PM Summary Table 00'!I61)*200000</f>
        <v>2.0164204993589405</v>
      </c>
      <c r="I5" s="148">
        <f>+('PM Summary Table 00'!J65)/('PM Summary Table 00'!J61)*200000</f>
        <v>2.101848748777551</v>
      </c>
      <c r="J5" s="149">
        <f>+(I5-H5)/H5</f>
        <v>0.042366286915734984</v>
      </c>
    </row>
    <row r="6" spans="2:10" ht="15.75">
      <c r="B6" s="146" t="s">
        <v>63</v>
      </c>
      <c r="C6" s="147" t="s">
        <v>62</v>
      </c>
      <c r="D6" s="150">
        <f>+'PM Summary Table 00'!E69/'PM Summary Table 00'!E61*200000</f>
        <v>1.7154578907999658</v>
      </c>
      <c r="E6" s="150">
        <f>+'PM Summary Table 00'!F69/'PM Summary Table 00'!F61*200000</f>
        <v>1.4709159066480497</v>
      </c>
      <c r="F6" s="150">
        <f>+'PM Summary Table 00'!G69/'PM Summary Table 00'!G61*200000</f>
        <v>1.3793425706953324</v>
      </c>
      <c r="G6" s="150">
        <f>+'PM Summary Table 00'!H69/'PM Summary Table 00'!H61*200000</f>
        <v>1.014367494606809</v>
      </c>
      <c r="H6" s="150">
        <f>+'PM Summary Table 00'!I69/'PM Summary Table 00'!I61*200000</f>
        <v>0.7388938131212556</v>
      </c>
      <c r="I6" s="150">
        <f>+'PM Summary Table 00'!J69/'PM Summary Table 00'!J61*200000</f>
        <v>0.6700524534693535</v>
      </c>
      <c r="J6" s="149">
        <f aca="true" t="shared" si="0" ref="J6:J24">+(I6-H6)/H6</f>
        <v>-0.09316813651626141</v>
      </c>
    </row>
    <row r="7" spans="2:10" ht="15.75">
      <c r="B7" s="146" t="s">
        <v>64</v>
      </c>
      <c r="C7" s="147" t="s">
        <v>62</v>
      </c>
      <c r="D7" s="150">
        <f>+'PM Summary Table 00'!E79/'PM Summary Table 00'!E75*200000</f>
        <v>3.364140636404983</v>
      </c>
      <c r="E7" s="150">
        <f>+'PM Summary Table 00'!F79/'PM Summary Table 00'!F75*200000</f>
        <v>3.519399206107156</v>
      </c>
      <c r="F7" s="150">
        <f>+'PM Summary Table 00'!G79/'PM Summary Table 00'!G75*200000</f>
        <v>3.8351160519341856</v>
      </c>
      <c r="G7" s="150">
        <f>+'PM Summary Table 00'!H79/'PM Summary Table 00'!H75*200000</f>
        <v>2.3027249307651942</v>
      </c>
      <c r="H7" s="150">
        <f>+'PM Summary Table 00'!I79/'PM Summary Table 00'!I75*200000</f>
        <v>1.973235785512629</v>
      </c>
      <c r="I7" s="150">
        <f>+'PM Summary Table 00'!J79/'PM Summary Table 00'!J75*200000</f>
        <v>1.6251243498169134</v>
      </c>
      <c r="J7" s="149">
        <f t="shared" si="0"/>
        <v>-0.17641654294510947</v>
      </c>
    </row>
    <row r="8" spans="2:10" ht="15.75">
      <c r="B8" s="146" t="s">
        <v>65</v>
      </c>
      <c r="C8" s="147" t="s">
        <v>62</v>
      </c>
      <c r="D8" s="150">
        <f>+'PM Summary Table 00'!E83/'PM Summary Table 00'!E75*200000</f>
        <v>1.3563847212840137</v>
      </c>
      <c r="E8" s="150">
        <f>+'PM Summary Table 00'!F83/'PM Summary Table 00'!F75*200000</f>
        <v>1.5475372395648488</v>
      </c>
      <c r="F8" s="150">
        <f>+'PM Summary Table 00'!G83/'PM Summary Table 00'!G75*200000</f>
        <v>1.3173674502002042</v>
      </c>
      <c r="G8" s="150">
        <f>+'PM Summary Table 00'!H83/'PM Summary Table 00'!H75*200000</f>
        <v>0.846769220572386</v>
      </c>
      <c r="H8" s="150">
        <f>+'PM Summary Table 00'!I83/'PM Summary Table 00'!I75*200000</f>
        <v>0.7417127420721229</v>
      </c>
      <c r="I8" s="150">
        <f>+'PM Summary Table 00'!J83/'PM Summary Table 00'!J75*200000</f>
        <v>0.48572152354863063</v>
      </c>
      <c r="J8" s="149">
        <f t="shared" si="0"/>
        <v>-0.34513525790096256</v>
      </c>
    </row>
    <row r="9" spans="2:10" ht="15.75">
      <c r="B9" s="146" t="s">
        <v>66</v>
      </c>
      <c r="C9" s="147" t="s">
        <v>62</v>
      </c>
      <c r="D9" s="150">
        <f>+'PM Summary Table 00'!E93/'PM Summary Table 00'!E89*200000</f>
        <v>2.8903077307356475</v>
      </c>
      <c r="E9" s="150">
        <f>+'PM Summary Table 00'!F93/'PM Summary Table 00'!F89*200000</f>
        <v>1.6888697909248844</v>
      </c>
      <c r="F9" s="150">
        <f>+'PM Summary Table 00'!G93/'PM Summary Table 00'!G89*200000</f>
        <v>2.9958578026457006</v>
      </c>
      <c r="G9" s="150">
        <f>+'PM Summary Table 00'!H93/'PM Summary Table 00'!H89*200000</f>
        <v>2.48293334176811</v>
      </c>
      <c r="H9" s="150">
        <f>+'PM Summary Table 00'!I93/'PM Summary Table 00'!I89*200000</f>
        <v>1.843062426060256</v>
      </c>
      <c r="I9" s="150">
        <f>+'PM Summary Table 00'!J93/'PM Summary Table 00'!J89*200000</f>
        <v>1.3226529368030202</v>
      </c>
      <c r="J9" s="149">
        <f t="shared" si="0"/>
        <v>-0.2823612927586327</v>
      </c>
    </row>
    <row r="10" spans="2:10" ht="15.75">
      <c r="B10" s="146" t="s">
        <v>67</v>
      </c>
      <c r="C10" s="147" t="s">
        <v>62</v>
      </c>
      <c r="D10" s="150">
        <f>+'PM Summary Table 00'!E97/'PM Summary Table 00'!E89*200000</f>
        <v>1.5108426774299974</v>
      </c>
      <c r="E10" s="150">
        <f>+'PM Summary Table 00'!F97/'PM Summary Table 00'!F89*200000</f>
        <v>0.748674237214124</v>
      </c>
      <c r="F10" s="150">
        <f>+'PM Summary Table 00'!G97/'PM Summary Table 00'!G89*200000</f>
        <v>1.0174611405211813</v>
      </c>
      <c r="G10" s="150">
        <f>+'PM Summary Table 00'!H97/'PM Summary Table 00'!H89*200000</f>
        <v>1.1227176849734062</v>
      </c>
      <c r="H10" s="150">
        <f>+'PM Summary Table 00'!I97/'PM Summary Table 00'!I89*200000</f>
        <v>0.7921934989206363</v>
      </c>
      <c r="I10" s="150">
        <f>+'PM Summary Table 00'!J97/'PM Summary Table 00'!J89*200000</f>
        <v>0.3734549468620293</v>
      </c>
      <c r="J10" s="149">
        <f t="shared" si="0"/>
        <v>-0.5285811517377236</v>
      </c>
    </row>
    <row r="11" spans="2:10" ht="15.75">
      <c r="B11" s="146" t="s">
        <v>68</v>
      </c>
      <c r="C11" s="147" t="s">
        <v>62</v>
      </c>
      <c r="D11" s="150">
        <f>+'PM Summary Table 00'!E50/'PM Summary Table 00'!E46*200000</f>
        <v>3.389733491845661</v>
      </c>
      <c r="E11" s="150">
        <f>+'PM Summary Table 00'!F50/'PM Summary Table 00'!F46*200000</f>
        <v>3.0175282868930933</v>
      </c>
      <c r="F11" s="150">
        <f>+'PM Summary Table 00'!G50/'PM Summary Table 00'!G46*200000</f>
        <v>3.377198653789232</v>
      </c>
      <c r="G11" s="150">
        <f>+'PM Summary Table 00'!H50/'PM Summary Table 00'!H46*200000</f>
        <v>2.2744318733472673</v>
      </c>
      <c r="H11" s="150">
        <f>+'PM Summary Table 00'!I50/'PM Summary Table 00'!I46*200000</f>
        <v>1.9689651896811164</v>
      </c>
      <c r="I11" s="150">
        <f>+'PM Summary Table 00'!J50/'PM Summary Table 00'!J46*200000</f>
        <v>1.7380675447293206</v>
      </c>
      <c r="J11" s="149">
        <f t="shared" si="0"/>
        <v>-0.11726852570166102</v>
      </c>
    </row>
    <row r="12" spans="2:10" ht="15.75">
      <c r="B12" s="146" t="s">
        <v>69</v>
      </c>
      <c r="C12" s="147" t="s">
        <v>62</v>
      </c>
      <c r="D12" s="150">
        <f>+'PM Summary Table 00'!E54/'PM Summary Table 00'!E46*200000</f>
        <v>1.5358672707564174</v>
      </c>
      <c r="E12" s="150">
        <f>+'PM Summary Table 00'!F54/'PM Summary Table 00'!F46*200000</f>
        <v>1.390806219504362</v>
      </c>
      <c r="F12" s="150">
        <f>+'PM Summary Table 00'!G54/'PM Summary Table 00'!G46*200000</f>
        <v>1.3035648842360152</v>
      </c>
      <c r="G12" s="150">
        <f>+'PM Summary Table 00'!H54/'PM Summary Table 00'!H46*200000</f>
        <v>0.952280335321368</v>
      </c>
      <c r="H12" s="150">
        <f>+'PM Summary Table 00'!I54/'PM Summary Table 00'!I46*200000</f>
        <v>0.7481592699029574</v>
      </c>
      <c r="I12" s="150">
        <f>+'PM Summary Table 00'!J54/'PM Summary Table 00'!J46*200000</f>
        <v>0.5300988732912638</v>
      </c>
      <c r="J12" s="149">
        <f t="shared" si="0"/>
        <v>-0.2914625339601525</v>
      </c>
    </row>
    <row r="13" spans="2:10" ht="15.75">
      <c r="B13" s="146" t="s">
        <v>71</v>
      </c>
      <c r="C13" s="147" t="s">
        <v>62</v>
      </c>
      <c r="D13" s="150">
        <f>+'PM Summary Table 00'!E29/('PM Summary Table 00'!E11+'PM Summary Table 00'!E6)</f>
        <v>0.2907706093189964</v>
      </c>
      <c r="E13" s="150">
        <f>+'PM Summary Table 00'!F29/('PM Summary Table 00'!F11+'PM Summary Table 00'!F6)</f>
        <v>0.26302831350020517</v>
      </c>
      <c r="F13" s="150">
        <f>+'PM Summary Table 00'!G29/('PM Summary Table 00'!G11+'PM Summary Table 00'!G6)</f>
        <v>0.23712528823981552</v>
      </c>
      <c r="G13" s="150">
        <f>+'PM Summary Table 00'!H29/('PM Summary Table 00'!H11+'PM Summary Table 00'!H6)</f>
        <v>0.1851528384279476</v>
      </c>
      <c r="H13" s="150">
        <f>+'PM Summary Table 00'!I29/('PM Summary Table 00'!I11+'PM Summary Table 00'!I6)</f>
        <v>0.17828200972447325</v>
      </c>
      <c r="I13" s="150">
        <f>+'PM Summary Table 00'!J29/('PM Summary Table 00'!J11+'PM Summary Table 00'!J6)</f>
        <v>0.12036613272311213</v>
      </c>
      <c r="J13" s="149">
        <f t="shared" si="0"/>
        <v>-0.324855419180362</v>
      </c>
    </row>
    <row r="14" spans="2:10" ht="15.75">
      <c r="B14" s="146" t="s">
        <v>70</v>
      </c>
      <c r="C14" s="147" t="s">
        <v>80</v>
      </c>
      <c r="D14" s="151">
        <f>+'PM Summary Table 00'!E14/('PM Summary Table 00'!E8+(0.5*'PM Summary Table 00'!E9)+'PM Summary Table 00'!E5)</f>
        <v>0.02156401041021192</v>
      </c>
      <c r="E14" s="151">
        <f>+'PM Summary Table 00'!F14/('PM Summary Table 00'!F8+(0.5*'PM Summary Table 00'!F9)+'PM Summary Table 00'!F5)</f>
        <v>0.02952290977798772</v>
      </c>
      <c r="F14" s="151">
        <f>+'PM Summary Table 00'!G14/('PM Summary Table 00'!G8+(0.5*'PM Summary Table 00'!G9)+'PM Summary Table 00'!G5)</f>
        <v>0.0224609375</v>
      </c>
      <c r="G14" s="151">
        <f>+'PM Summary Table 00'!H14/('PM Summary Table 00'!H8+(0.5*'PM Summary Table 00'!H9)+'PM Summary Table 00'!H5)</f>
        <v>0.02097902097902098</v>
      </c>
      <c r="H14" s="151">
        <f>+'PM Summary Table 00'!I14/('PM Summary Table 00'!I8+(0.5*'PM Summary Table 00'!I9)+'PM Summary Table 00'!I5)</f>
        <v>0.02384811298911785</v>
      </c>
      <c r="I14" s="151">
        <f>+'PM Summary Table 00'!J14/('PM Summary Table 00'!J8+(0.5*'PM Summary Table 00'!J9)+'PM Summary Table 00'!J5)</f>
        <v>0.0200836820083682</v>
      </c>
      <c r="J14" s="149">
        <f t="shared" si="0"/>
        <v>-0.15785026607628874</v>
      </c>
    </row>
    <row r="15" spans="2:10" ht="15.75">
      <c r="B15" s="146" t="s">
        <v>72</v>
      </c>
      <c r="C15" s="147" t="s">
        <v>80</v>
      </c>
      <c r="D15" s="152">
        <f>+'PM Summary Table 00'!E13/'PM Summary Table 00'!E5</f>
        <v>0.0036068530207394047</v>
      </c>
      <c r="E15" s="152">
        <f>+'PM Summary Table 00'!F13/'PM Summary Table 00'!F5</f>
        <v>0.0037593984962406013</v>
      </c>
      <c r="F15" s="152">
        <f>+'PM Summary Table 00'!G13/'PM Summary Table 00'!G5</f>
        <v>0.006129597197898424</v>
      </c>
      <c r="G15" s="152">
        <f>+'PM Summary Table 00'!H13/'PM Summary Table 00'!H5</f>
        <v>0.004826254826254826</v>
      </c>
      <c r="H15" s="152">
        <f>+'PM Summary Table 00'!I13/'PM Summary Table 00'!I5</f>
        <v>0.006507592190889371</v>
      </c>
      <c r="I15" s="152">
        <f>+'PM Summary Table 00'!J13/'PM Summary Table 00'!J5</f>
        <v>0.0071146245059288534</v>
      </c>
      <c r="J15" s="149">
        <f t="shared" si="0"/>
        <v>0.09328063241106718</v>
      </c>
    </row>
    <row r="16" spans="2:10" ht="15.75">
      <c r="B16" s="146" t="s">
        <v>73</v>
      </c>
      <c r="C16" s="147" t="s">
        <v>62</v>
      </c>
      <c r="D16" s="151">
        <f>+'PM Summary Table 00'!E22/('PM Summary Table 00'!E11+(0.5*'PM Summary Table 00'!E12)+'PM Summary Table 00'!E6)</f>
        <v>0.48600266615882687</v>
      </c>
      <c r="E16" s="151">
        <f>+'PM Summary Table 00'!F22/('PM Summary Table 00'!F11+(0.5*'PM Summary Table 00'!F12)+'PM Summary Table 00'!F6)</f>
        <v>0.35956454121306375</v>
      </c>
      <c r="F16" s="151">
        <f>+'PM Summary Table 00'!G22/('PM Summary Table 00'!G11+(0.5*'PM Summary Table 00'!G12)+'PM Summary Table 00'!G6)</f>
        <v>0.288265306122449</v>
      </c>
      <c r="G16" s="151">
        <f>+'PM Summary Table 00'!H22/('PM Summary Table 00'!H11+(0.5*'PM Summary Table 00'!H12)+'PM Summary Table 00'!H6)</f>
        <v>0.2824601366742597</v>
      </c>
      <c r="H16" s="151">
        <f>+'PM Summary Table 00'!I22/('PM Summary Table 00'!I11+(0.5*'PM Summary Table 00'!I12)+'PM Summary Table 00'!I6)</f>
        <v>0.2812113720642769</v>
      </c>
      <c r="I16" s="151">
        <f>+'PM Summary Table 00'!J22/('PM Summary Table 00'!J11+(0.5*'PM Summary Table 00'!J12)+'PM Summary Table 00'!J6)</f>
        <v>0.265181834000348</v>
      </c>
      <c r="J16" s="149">
        <f t="shared" si="0"/>
        <v>-0.05700174195041081</v>
      </c>
    </row>
    <row r="17" spans="2:10" ht="15.75">
      <c r="B17" s="146" t="s">
        <v>74</v>
      </c>
      <c r="C17" s="147" t="s">
        <v>80</v>
      </c>
      <c r="D17" s="151">
        <f>+'PM Summary Table 00'!E23/('PM Summary Table 00'!E8+(0.5*'PM Summary Table 00'!E9)+'PM Summary Table 00'!E5)</f>
        <v>0.007931590035940017</v>
      </c>
      <c r="E17" s="151">
        <f>+'PM Summary Table 00'!F23/('PM Summary Table 00'!F8+(0.5*'PM Summary Table 00'!F9)+'PM Summary Table 00'!F5)</f>
        <v>0.004251299008030231</v>
      </c>
      <c r="F17" s="151">
        <f>+'PM Summary Table 00'!G23/('PM Summary Table 00'!G8+(0.5*'PM Summary Table 00'!G9)+'PM Summary Table 00'!G5)</f>
        <v>0.006591796875</v>
      </c>
      <c r="G17" s="151">
        <f>+'PM Summary Table 00'!H23/('PM Summary Table 00'!H8+(0.5*'PM Summary Table 00'!H9)+'PM Summary Table 00'!H5)</f>
        <v>0.003996003996003996</v>
      </c>
      <c r="H17" s="151">
        <f>+'PM Summary Table 00'!I23/('PM Summary Table 00'!I8+(0.5*'PM Summary Table 00'!I9)+'PM Summary Table 00'!I5)</f>
        <v>0.0013892104653855058</v>
      </c>
      <c r="I17" s="151">
        <f>+'PM Summary Table 00'!J23/('PM Summary Table 00'!J8+(0.5*'PM Summary Table 00'!J9)+'PM Summary Table 00'!J5)</f>
        <v>0.002390914524805738</v>
      </c>
      <c r="J17" s="149">
        <f t="shared" si="0"/>
        <v>0.7210599721059971</v>
      </c>
    </row>
    <row r="18" spans="2:10" ht="15.75">
      <c r="B18" s="146" t="s">
        <v>83</v>
      </c>
      <c r="C18" s="147" t="s">
        <v>80</v>
      </c>
      <c r="D18" s="151">
        <f>+'PM Summary Table 00'!E24/('PM Summary Table 00'!E8+(0.5*'PM Summary Table 00'!E9)+'PM Summary Table 00'!E5)</f>
        <v>0.00223075969760813</v>
      </c>
      <c r="E18" s="151">
        <f>+'PM Summary Table 00'!F24/('PM Summary Table 00'!F8+(0.5*'PM Summary Table 00'!F9)+'PM Summary Table 00'!F5)</f>
        <v>0.0021256495040151155</v>
      </c>
      <c r="F18" s="151">
        <f>+'PM Summary Table 00'!G24/('PM Summary Table 00'!G8+(0.5*'PM Summary Table 00'!G9)+'PM Summary Table 00'!G5)</f>
        <v>0.00146484375</v>
      </c>
      <c r="G18" s="151">
        <f>+'PM Summary Table 00'!H24/('PM Summary Table 00'!H8+(0.5*'PM Summary Table 00'!H9)+'PM Summary Table 00'!H5)</f>
        <v>0.0014985014985014985</v>
      </c>
      <c r="H18" s="151">
        <f>+'PM Summary Table 00'!I24/('PM Summary Table 00'!I8+(0.5*'PM Summary Table 00'!I9)+'PM Summary Table 00'!I5)</f>
        <v>0.0006946052326927529</v>
      </c>
      <c r="I18" s="151">
        <f>+'PM Summary Table 00'!J24/('PM Summary Table 00'!J8+(0.5*'PM Summary Table 00'!J9)+'PM Summary Table 00'!J5)</f>
        <v>0.00047818290496114764</v>
      </c>
      <c r="J18" s="149">
        <f t="shared" si="0"/>
        <v>-0.3115760111576011</v>
      </c>
    </row>
    <row r="19" spans="2:10" ht="15.75">
      <c r="B19" s="146" t="s">
        <v>75</v>
      </c>
      <c r="C19" s="147" t="s">
        <v>62</v>
      </c>
      <c r="D19" s="150">
        <f>+'PM Summary Table 00'!E26/'PM Summary Table 00'!E38*1000000</f>
        <v>0.17144476643136647</v>
      </c>
      <c r="E19" s="150">
        <f>+'PM Summary Table 00'!F26/'PM Summary Table 00'!F38*1000000</f>
        <v>0.33685990166870383</v>
      </c>
      <c r="F19" s="150">
        <f>+'PM Summary Table 00'!G26/'PM Summary Table 00'!G38*1000000</f>
        <v>0.4942824509262602</v>
      </c>
      <c r="G19" s="150">
        <f>+'PM Summary Table 00'!H26/'PM Summary Table 00'!H38*1000000</f>
        <v>0.07302929992590407</v>
      </c>
      <c r="H19" s="150">
        <f>+'PM Summary Table 00'!I26/'PM Summary Table 00'!I38*1000000</f>
        <v>0.08488341500992422</v>
      </c>
      <c r="I19" s="150">
        <f>+'PM Summary Table 00'!J26/'PM Summary Table 00'!J38*1000000</f>
        <v>0.08524635306282646</v>
      </c>
      <c r="J19" s="149">
        <f t="shared" si="0"/>
        <v>0.004275723978115301</v>
      </c>
    </row>
    <row r="20" spans="2:10" ht="15.75">
      <c r="B20" s="146" t="s">
        <v>76</v>
      </c>
      <c r="C20" s="147" t="s">
        <v>80</v>
      </c>
      <c r="D20" s="150">
        <f>+'PM Summary Table 00'!E27/'PM Summary Table 00'!E33*1000000</f>
        <v>0.2204189138960431</v>
      </c>
      <c r="E20" s="150">
        <f>+'PM Summary Table 00'!F27/'PM Summary Table 00'!F33*1000000</f>
        <v>0.09725475651931842</v>
      </c>
      <c r="F20" s="150">
        <f>+'PM Summary Table 00'!G27/'PM Summary Table 00'!G33*1000000</f>
        <v>0.1360495439987319</v>
      </c>
      <c r="G20" s="150">
        <f>+'PM Summary Table 00'!H27/'PM Summary Table 00'!H33*1000000</f>
        <v>0.08685321139246667</v>
      </c>
      <c r="H20" s="150">
        <f>+'PM Summary Table 00'!I27/'PM Summary Table 00'!I33*1000000</f>
        <v>0.032445950873732934</v>
      </c>
      <c r="I20" s="150">
        <f>+'PM Summary Table 00'!J27/'PM Summary Table 00'!J33*1000000</f>
        <v>0.039011583723852564</v>
      </c>
      <c r="J20" s="149">
        <f t="shared" si="0"/>
        <v>0.2023560004658371</v>
      </c>
    </row>
    <row r="21" spans="2:10" ht="15.75">
      <c r="B21" s="146" t="s">
        <v>84</v>
      </c>
      <c r="C21" s="147" t="s">
        <v>80</v>
      </c>
      <c r="D21" s="150">
        <f>+'PM Summary Table 00'!E28/'PM Summary Table 00'!E33*1000000</f>
        <v>1.0666882244791243</v>
      </c>
      <c r="E21" s="150">
        <f>+'PM Summary Table 00'!F28/'PM Summary Table 00'!F33*1000000</f>
        <v>1.1095501054951928</v>
      </c>
      <c r="F21" s="150">
        <f>+'PM Summary Table 00'!G28/'PM Summary Table 00'!G33*1000000</f>
        <v>0.36784466416346984</v>
      </c>
      <c r="G21" s="150">
        <f>+'PM Summary Table 00'!H28/'PM Summary Table 00'!H33*1000000</f>
        <v>0.27793027645589335</v>
      </c>
      <c r="H21" s="150">
        <f>+'PM Summary Table 00'!I28/'PM Summary Table 00'!I33*1000000</f>
        <v>0.1561281928105512</v>
      </c>
      <c r="I21" s="150">
        <f>+'PM Summary Table 00'!J28/'PM Summary Table 00'!J33*1000000</f>
        <v>0.17999454532274906</v>
      </c>
      <c r="J21" s="149">
        <f t="shared" si="0"/>
        <v>0.15286382351941852</v>
      </c>
    </row>
    <row r="22" spans="2:10" ht="15.75">
      <c r="B22" s="146" t="s">
        <v>77</v>
      </c>
      <c r="C22" s="147" t="s">
        <v>80</v>
      </c>
      <c r="D22" s="150">
        <f aca="true" t="shared" si="1" ref="D22:I22">+D19+D20+D21</f>
        <v>1.4585519048065338</v>
      </c>
      <c r="E22" s="150">
        <f t="shared" si="1"/>
        <v>1.543664763683215</v>
      </c>
      <c r="F22" s="150">
        <f t="shared" si="1"/>
        <v>0.998176659088462</v>
      </c>
      <c r="G22" s="150">
        <f t="shared" si="1"/>
        <v>0.4378127877742641</v>
      </c>
      <c r="H22" s="150">
        <f t="shared" si="1"/>
        <v>0.27345755869420835</v>
      </c>
      <c r="I22" s="150">
        <f t="shared" si="1"/>
        <v>0.30425248210942807</v>
      </c>
      <c r="J22" s="149">
        <f t="shared" si="0"/>
        <v>0.11261317318222638</v>
      </c>
    </row>
    <row r="23" spans="2:10" ht="15.75">
      <c r="B23" s="146" t="s">
        <v>78</v>
      </c>
      <c r="C23" s="147" t="s">
        <v>80</v>
      </c>
      <c r="D23" s="150">
        <f>+'PM Summary Table 00'!E16/'PM Summary Table 00'!E18</f>
        <v>0.2414759458197104</v>
      </c>
      <c r="E23" s="150">
        <f>+'PM Summary Table 00'!F16/'PM Summary Table 00'!F18</f>
        <v>0.26990291262135924</v>
      </c>
      <c r="F23" s="150">
        <f>+'PM Summary Table 00'!G16/'PM Summary Table 00'!G18</f>
        <v>0.18895966029723993</v>
      </c>
      <c r="G23" s="150">
        <f>+'PM Summary Table 00'!H16/'PM Summary Table 00'!H18</f>
        <v>0.08202247191011236</v>
      </c>
      <c r="H23" s="150">
        <f>+'PM Summary Table 00'!I16/'PM Summary Table 00'!I18</f>
        <v>0.15371024734982333</v>
      </c>
      <c r="I23" s="150">
        <f>+'PM Summary Table 00'!J16/'PM Summary Table 00'!J18</f>
        <v>0.14816602316602318</v>
      </c>
      <c r="J23" s="149">
        <f t="shared" si="0"/>
        <v>-0.036069320552079176</v>
      </c>
    </row>
    <row r="24" spans="2:10" ht="16.5" thickBot="1">
      <c r="B24" s="153" t="s">
        <v>79</v>
      </c>
      <c r="C24" s="154" t="s">
        <v>80</v>
      </c>
      <c r="D24" s="155">
        <f>+'PM Summary Table 00'!E17/'PM Summary Table 00'!E19</f>
        <v>0.04514876639292935</v>
      </c>
      <c r="E24" s="155">
        <f>+'PM Summary Table 00'!F17/'PM Summary Table 00'!F19</f>
        <v>0.05179500960457038</v>
      </c>
      <c r="F24" s="155">
        <f>+'PM Summary Table 00'!G17/'PM Summary Table 00'!G19</f>
        <v>0.04007840772014475</v>
      </c>
      <c r="G24" s="155">
        <f>+'PM Summary Table 00'!H17/'PM Summary Table 00'!H19</f>
        <v>0.05661669397637507</v>
      </c>
      <c r="H24" s="155">
        <f>+'PM Summary Table 00'!I17/'PM Summary Table 00'!I19</f>
        <v>0.07807723325643767</v>
      </c>
      <c r="I24" s="155">
        <f>+'PM Summary Table 00'!J17/'PM Summary Table 00'!J19</f>
        <v>0.06007719670021948</v>
      </c>
      <c r="J24" s="162">
        <f t="shared" si="0"/>
        <v>-0.230541424247177</v>
      </c>
    </row>
    <row r="25" spans="2:10" ht="15">
      <c r="B25" s="156"/>
      <c r="C25" s="157"/>
      <c r="D25" s="158"/>
      <c r="E25" s="158"/>
      <c r="F25" s="158"/>
      <c r="G25" s="158"/>
      <c r="H25" s="158"/>
      <c r="I25" s="158"/>
      <c r="J25" s="158"/>
    </row>
    <row r="26" spans="2:10" ht="15">
      <c r="B26" s="159" t="s">
        <v>86</v>
      </c>
      <c r="C26" s="157"/>
      <c r="D26" s="159" t="s">
        <v>88</v>
      </c>
      <c r="E26" s="158"/>
      <c r="F26" s="158"/>
      <c r="G26" s="158"/>
      <c r="H26" s="158"/>
      <c r="I26" s="158"/>
      <c r="J26" s="158"/>
    </row>
    <row r="27" spans="2:10" ht="15">
      <c r="B27" s="159" t="s">
        <v>87</v>
      </c>
      <c r="C27" s="157"/>
      <c r="D27" s="159" t="s">
        <v>92</v>
      </c>
      <c r="E27" s="158"/>
      <c r="F27" s="158"/>
      <c r="G27" s="158"/>
      <c r="H27" s="158"/>
      <c r="I27" s="158"/>
      <c r="J27" s="158"/>
    </row>
  </sheetData>
  <mergeCells count="1">
    <mergeCell ref="B2:J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2"/>
  <sheetViews>
    <sheetView workbookViewId="0" topLeftCell="A19">
      <selection activeCell="J13" sqref="J13"/>
    </sheetView>
  </sheetViews>
  <sheetFormatPr defaultColWidth="9.140625" defaultRowHeight="12.75"/>
  <cols>
    <col min="1" max="1" width="4.28125" style="3" customWidth="1"/>
    <col min="2" max="3" width="9.140625" style="3" customWidth="1"/>
    <col min="4" max="4" width="15.8515625" style="3" customWidth="1"/>
    <col min="5" max="5" width="14.140625" style="3" customWidth="1"/>
    <col min="6" max="6" width="13.7109375" style="3" customWidth="1"/>
    <col min="7" max="7" width="14.140625" style="3" customWidth="1"/>
    <col min="8" max="10" width="14.421875" style="3" customWidth="1"/>
    <col min="11" max="11" width="11.00390625" style="3" customWidth="1"/>
    <col min="12" max="12" width="13.421875" style="3" customWidth="1"/>
    <col min="13" max="16384" width="9.140625" style="3" customWidth="1"/>
  </cols>
  <sheetData>
    <row r="2" spans="2:11" ht="15.75">
      <c r="B2" s="166" t="s">
        <v>90</v>
      </c>
      <c r="C2" s="166"/>
      <c r="D2" s="166"/>
      <c r="E2" s="166"/>
      <c r="F2" s="166"/>
      <c r="G2" s="166"/>
      <c r="H2" s="166"/>
      <c r="I2" s="166"/>
      <c r="J2" s="166"/>
      <c r="K2" s="166"/>
    </row>
    <row r="3" ht="8.25" customHeight="1">
      <c r="B3" s="4"/>
    </row>
    <row r="4" spans="5:11" ht="13.5" thickBot="1">
      <c r="E4" s="5">
        <v>1996</v>
      </c>
      <c r="F4" s="5">
        <v>1997</v>
      </c>
      <c r="G4" s="5">
        <v>1998</v>
      </c>
      <c r="H4" s="5">
        <v>1999</v>
      </c>
      <c r="I4" s="5">
        <v>2000</v>
      </c>
      <c r="J4" s="5">
        <v>2001</v>
      </c>
      <c r="K4" s="5" t="s">
        <v>0</v>
      </c>
    </row>
    <row r="5" spans="2:11" ht="12.75">
      <c r="B5" s="6" t="s">
        <v>1</v>
      </c>
      <c r="C5" s="7"/>
      <c r="D5" s="8"/>
      <c r="E5" s="9">
        <v>1109</v>
      </c>
      <c r="F5" s="9">
        <v>1330</v>
      </c>
      <c r="G5" s="10">
        <v>1142</v>
      </c>
      <c r="H5" s="10">
        <v>1036</v>
      </c>
      <c r="I5" s="10">
        <v>1383</v>
      </c>
      <c r="J5" s="10">
        <v>1265</v>
      </c>
      <c r="K5" s="11" t="s">
        <v>2</v>
      </c>
    </row>
    <row r="6" spans="2:11" ht="12.75">
      <c r="B6" s="12" t="s">
        <v>3</v>
      </c>
      <c r="C6" s="13"/>
      <c r="D6" s="14"/>
      <c r="E6" s="15">
        <v>791</v>
      </c>
      <c r="F6" s="15">
        <v>1003</v>
      </c>
      <c r="G6" s="16">
        <v>860</v>
      </c>
      <c r="H6" s="16">
        <v>765</v>
      </c>
      <c r="I6" s="16">
        <v>987</v>
      </c>
      <c r="J6" s="16">
        <v>847</v>
      </c>
      <c r="K6" s="17" t="s">
        <v>2</v>
      </c>
    </row>
    <row r="7" spans="2:11" ht="12.75">
      <c r="B7" s="18" t="s">
        <v>4</v>
      </c>
      <c r="C7" s="19"/>
      <c r="D7" s="20"/>
      <c r="E7" s="15"/>
      <c r="F7" s="15"/>
      <c r="G7" s="15"/>
      <c r="H7" s="16"/>
      <c r="I7" s="16"/>
      <c r="J7" s="16"/>
      <c r="K7" s="17"/>
    </row>
    <row r="8" spans="2:13" ht="12.75">
      <c r="B8" s="18"/>
      <c r="C8" s="19" t="s">
        <v>6</v>
      </c>
      <c r="D8" s="22"/>
      <c r="E8" s="15">
        <v>1967</v>
      </c>
      <c r="F8" s="15">
        <v>1942</v>
      </c>
      <c r="G8" s="16">
        <v>1984</v>
      </c>
      <c r="H8" s="16">
        <v>1988</v>
      </c>
      <c r="I8" s="16">
        <v>1956</v>
      </c>
      <c r="J8" s="16">
        <v>1932</v>
      </c>
      <c r="K8" s="17" t="s">
        <v>5</v>
      </c>
      <c r="M8" s="119"/>
    </row>
    <row r="9" spans="2:13" ht="12.75">
      <c r="B9" s="18"/>
      <c r="C9" s="19" t="s">
        <v>7</v>
      </c>
      <c r="D9" s="22"/>
      <c r="E9" s="15">
        <v>1917</v>
      </c>
      <c r="F9" s="15">
        <v>1924</v>
      </c>
      <c r="G9" s="16">
        <v>1940</v>
      </c>
      <c r="H9" s="16">
        <v>1960</v>
      </c>
      <c r="I9" s="16">
        <v>1960</v>
      </c>
      <c r="J9" s="16">
        <v>1971</v>
      </c>
      <c r="K9" s="17" t="s">
        <v>5</v>
      </c>
      <c r="M9" s="119"/>
    </row>
    <row r="10" spans="2:13" ht="12.75">
      <c r="B10" s="18" t="s">
        <v>36</v>
      </c>
      <c r="C10" s="19"/>
      <c r="D10" s="22"/>
      <c r="E10" s="15"/>
      <c r="F10" s="15"/>
      <c r="G10" s="15"/>
      <c r="H10" s="16"/>
      <c r="I10" s="16"/>
      <c r="J10" s="16"/>
      <c r="K10" s="17"/>
      <c r="M10" s="119"/>
    </row>
    <row r="11" spans="2:13" ht="12.75">
      <c r="B11" s="18"/>
      <c r="C11" s="19" t="s">
        <v>6</v>
      </c>
      <c r="D11" s="22"/>
      <c r="E11" s="15">
        <v>1441</v>
      </c>
      <c r="F11" s="15">
        <v>1434</v>
      </c>
      <c r="G11" s="16">
        <f>1742</f>
        <v>1742</v>
      </c>
      <c r="H11" s="16">
        <v>1525</v>
      </c>
      <c r="I11" s="16">
        <v>1481</v>
      </c>
      <c r="J11" s="16">
        <v>1338</v>
      </c>
      <c r="K11" s="17" t="s">
        <v>5</v>
      </c>
      <c r="M11" s="119"/>
    </row>
    <row r="12" spans="2:13" ht="12.75">
      <c r="B12" s="24"/>
      <c r="C12" s="112" t="s">
        <v>7</v>
      </c>
      <c r="D12" s="26"/>
      <c r="E12" s="81">
        <v>787</v>
      </c>
      <c r="F12" s="81">
        <v>1556</v>
      </c>
      <c r="G12" s="82">
        <f>1852</f>
        <v>1852</v>
      </c>
      <c r="H12" s="15">
        <v>1566</v>
      </c>
      <c r="I12" s="15">
        <v>1536</v>
      </c>
      <c r="J12" s="15">
        <v>1377</v>
      </c>
      <c r="K12" s="88" t="s">
        <v>5</v>
      </c>
      <c r="M12" s="119"/>
    </row>
    <row r="13" spans="2:13" ht="12.75">
      <c r="B13" s="18" t="s">
        <v>37</v>
      </c>
      <c r="C13" s="19"/>
      <c r="D13" s="22"/>
      <c r="E13" s="15">
        <v>4</v>
      </c>
      <c r="F13" s="15">
        <v>5</v>
      </c>
      <c r="G13" s="15">
        <v>7</v>
      </c>
      <c r="H13" s="15">
        <v>5</v>
      </c>
      <c r="I13" s="15">
        <v>9</v>
      </c>
      <c r="J13" s="15">
        <v>9</v>
      </c>
      <c r="K13" s="88" t="s">
        <v>44</v>
      </c>
      <c r="M13" s="119"/>
    </row>
    <row r="14" spans="2:13" ht="12.75">
      <c r="B14" s="18" t="s">
        <v>59</v>
      </c>
      <c r="C14" s="19"/>
      <c r="D14" s="22"/>
      <c r="E14" s="15">
        <v>87</v>
      </c>
      <c r="F14" s="15">
        <v>125</v>
      </c>
      <c r="G14" s="15">
        <f>92</f>
        <v>92</v>
      </c>
      <c r="H14" s="15">
        <v>84</v>
      </c>
      <c r="I14" s="15">
        <v>103</v>
      </c>
      <c r="J14" s="15">
        <v>84</v>
      </c>
      <c r="K14" s="88" t="s">
        <v>58</v>
      </c>
      <c r="M14" s="119"/>
    </row>
    <row r="15" spans="2:13" ht="12.75">
      <c r="B15" s="18" t="s">
        <v>38</v>
      </c>
      <c r="C15" s="19"/>
      <c r="D15" s="22"/>
      <c r="E15" s="15"/>
      <c r="F15" s="15"/>
      <c r="G15" s="15"/>
      <c r="H15" s="15"/>
      <c r="I15" s="15"/>
      <c r="J15" s="15"/>
      <c r="K15" s="88"/>
      <c r="M15" s="119"/>
    </row>
    <row r="16" spans="2:13" ht="12.75">
      <c r="B16" s="89"/>
      <c r="C16" s="19" t="s">
        <v>34</v>
      </c>
      <c r="D16" s="22"/>
      <c r="E16" s="15">
        <f>515+2</f>
        <v>517</v>
      </c>
      <c r="F16" s="15">
        <f>550+6</f>
        <v>556</v>
      </c>
      <c r="G16" s="15">
        <f>354+2</f>
        <v>356</v>
      </c>
      <c r="H16" s="15">
        <v>146</v>
      </c>
      <c r="I16" s="15">
        <v>261</v>
      </c>
      <c r="J16" s="15">
        <v>307</v>
      </c>
      <c r="K16" s="88" t="s">
        <v>45</v>
      </c>
      <c r="M16" s="119"/>
    </row>
    <row r="17" spans="2:13" ht="12.75">
      <c r="B17" s="89"/>
      <c r="C17" s="19" t="s">
        <v>35</v>
      </c>
      <c r="D17" s="22"/>
      <c r="E17" s="15">
        <f>4861+186</f>
        <v>5047</v>
      </c>
      <c r="F17" s="15">
        <f>5017+187</f>
        <v>5204</v>
      </c>
      <c r="G17" s="15">
        <f>3843+144</f>
        <v>3987</v>
      </c>
      <c r="H17" s="15">
        <v>4630</v>
      </c>
      <c r="I17" s="15">
        <v>4163</v>
      </c>
      <c r="J17" s="15">
        <v>3969</v>
      </c>
      <c r="K17" s="88" t="s">
        <v>45</v>
      </c>
      <c r="M17" s="119"/>
    </row>
    <row r="18" spans="2:13" ht="12.75">
      <c r="B18" s="18" t="s">
        <v>39</v>
      </c>
      <c r="C18" s="21"/>
      <c r="D18" s="22"/>
      <c r="E18" s="15">
        <f>2099+42</f>
        <v>2141</v>
      </c>
      <c r="F18" s="15">
        <f>1975+85</f>
        <v>2060</v>
      </c>
      <c r="G18" s="15">
        <f>1848+36</f>
        <v>1884</v>
      </c>
      <c r="H18" s="15">
        <v>1780</v>
      </c>
      <c r="I18" s="15">
        <v>1698</v>
      </c>
      <c r="J18" s="15">
        <v>2072</v>
      </c>
      <c r="K18" s="88" t="s">
        <v>46</v>
      </c>
      <c r="M18" s="119"/>
    </row>
    <row r="19" spans="2:11" ht="13.5" thickBot="1">
      <c r="B19" s="36" t="s">
        <v>40</v>
      </c>
      <c r="C19" s="25"/>
      <c r="D19" s="37"/>
      <c r="E19" s="107">
        <f>68159+43627</f>
        <v>111786</v>
      </c>
      <c r="F19" s="107">
        <f>61902+38571</f>
        <v>100473</v>
      </c>
      <c r="G19" s="107">
        <f>65880+33600</f>
        <v>99480</v>
      </c>
      <c r="H19" s="107">
        <v>81778</v>
      </c>
      <c r="I19" s="107">
        <v>53319</v>
      </c>
      <c r="J19" s="107">
        <v>66065</v>
      </c>
      <c r="K19" s="90" t="s">
        <v>47</v>
      </c>
    </row>
    <row r="20" ht="7.5" customHeight="1" thickBot="1"/>
    <row r="21" spans="2:11" ht="12.75">
      <c r="B21" s="6" t="s">
        <v>51</v>
      </c>
      <c r="C21" s="91"/>
      <c r="D21" s="92"/>
      <c r="E21" s="93"/>
      <c r="F21" s="93"/>
      <c r="G21" s="93"/>
      <c r="H21" s="91"/>
      <c r="I21" s="91"/>
      <c r="J21" s="91"/>
      <c r="K21" s="94"/>
    </row>
    <row r="22" spans="2:11" ht="12.75">
      <c r="B22" s="48"/>
      <c r="C22" s="13" t="s">
        <v>41</v>
      </c>
      <c r="D22" s="113" t="s">
        <v>42</v>
      </c>
      <c r="E22" s="108">
        <v>1276</v>
      </c>
      <c r="F22" s="108">
        <v>1156</v>
      </c>
      <c r="G22" s="108">
        <v>1017</v>
      </c>
      <c r="H22" s="15">
        <v>868</v>
      </c>
      <c r="I22" s="15">
        <v>910</v>
      </c>
      <c r="J22" s="15">
        <v>762</v>
      </c>
      <c r="K22" s="15" t="s">
        <v>48</v>
      </c>
    </row>
    <row r="23" spans="2:11" ht="12.75">
      <c r="B23" s="45"/>
      <c r="C23" s="116" t="s">
        <v>49</v>
      </c>
      <c r="D23" s="20"/>
      <c r="E23" s="15">
        <v>32</v>
      </c>
      <c r="F23" s="15">
        <v>18</v>
      </c>
      <c r="G23" s="15">
        <v>27</v>
      </c>
      <c r="H23" s="15">
        <v>16</v>
      </c>
      <c r="I23" s="15">
        <v>6</v>
      </c>
      <c r="J23" s="15">
        <v>10</v>
      </c>
      <c r="K23" s="15" t="s">
        <v>48</v>
      </c>
    </row>
    <row r="24" spans="2:11" ht="12.75">
      <c r="B24" s="45"/>
      <c r="C24" s="116" t="s">
        <v>50</v>
      </c>
      <c r="D24" s="20"/>
      <c r="E24" s="15">
        <v>9</v>
      </c>
      <c r="F24" s="15">
        <v>9</v>
      </c>
      <c r="G24" s="15">
        <v>6</v>
      </c>
      <c r="H24" s="15">
        <v>6</v>
      </c>
      <c r="I24" s="15">
        <v>3</v>
      </c>
      <c r="J24" s="15">
        <v>2</v>
      </c>
      <c r="K24" s="15" t="s">
        <v>48</v>
      </c>
    </row>
    <row r="25" spans="2:11" ht="12.75">
      <c r="B25" s="18" t="s">
        <v>52</v>
      </c>
      <c r="C25" s="95"/>
      <c r="D25" s="22"/>
      <c r="E25" s="15"/>
      <c r="F25" s="15"/>
      <c r="G25" s="15"/>
      <c r="H25" s="15"/>
      <c r="I25" s="15"/>
      <c r="J25" s="15"/>
      <c r="K25" s="15"/>
    </row>
    <row r="26" spans="2:11" ht="12.75">
      <c r="B26" s="45"/>
      <c r="C26" s="13" t="s">
        <v>41</v>
      </c>
      <c r="D26" s="113" t="s">
        <v>42</v>
      </c>
      <c r="E26" s="15">
        <v>68.1</v>
      </c>
      <c r="F26" s="15">
        <v>144.3</v>
      </c>
      <c r="G26" s="15">
        <v>230.8</v>
      </c>
      <c r="H26" s="15">
        <v>39.28</v>
      </c>
      <c r="I26" s="134">
        <v>41.792</v>
      </c>
      <c r="J26" s="134">
        <v>59.21</v>
      </c>
      <c r="K26" s="15" t="s">
        <v>17</v>
      </c>
    </row>
    <row r="27" spans="2:11" ht="12.75">
      <c r="B27" s="117"/>
      <c r="C27" s="118" t="s">
        <v>49</v>
      </c>
      <c r="D27" s="114"/>
      <c r="E27" s="42">
        <v>95.56</v>
      </c>
      <c r="F27" s="42">
        <v>45.07</v>
      </c>
      <c r="G27" s="42">
        <v>71.9</v>
      </c>
      <c r="H27" s="15">
        <v>54.45</v>
      </c>
      <c r="I27" s="15">
        <v>18.08</v>
      </c>
      <c r="J27" s="15">
        <v>30.56</v>
      </c>
      <c r="K27" s="15" t="s">
        <v>17</v>
      </c>
    </row>
    <row r="28" spans="2:11" ht="12.75">
      <c r="B28" s="45"/>
      <c r="C28" s="116" t="s">
        <v>50</v>
      </c>
      <c r="D28" s="20"/>
      <c r="E28" s="15">
        <v>462.45</v>
      </c>
      <c r="F28" s="15">
        <v>514.19</v>
      </c>
      <c r="G28" s="15">
        <v>194.4</v>
      </c>
      <c r="H28" s="15">
        <v>174.24</v>
      </c>
      <c r="I28" s="15">
        <v>87</v>
      </c>
      <c r="J28" s="15">
        <v>141</v>
      </c>
      <c r="K28" s="15" t="s">
        <v>17</v>
      </c>
    </row>
    <row r="29" spans="2:11" ht="12.75">
      <c r="B29" s="18" t="s">
        <v>82</v>
      </c>
      <c r="C29" s="109"/>
      <c r="D29" s="86"/>
      <c r="E29" s="111">
        <v>649</v>
      </c>
      <c r="F29" s="111">
        <v>641</v>
      </c>
      <c r="G29" s="42">
        <v>617</v>
      </c>
      <c r="H29" s="15">
        <v>424</v>
      </c>
      <c r="I29" s="15">
        <v>440</v>
      </c>
      <c r="J29" s="15">
        <v>263</v>
      </c>
      <c r="K29" s="15"/>
    </row>
    <row r="30" spans="2:11" ht="13.5" thickBot="1">
      <c r="B30" s="115"/>
      <c r="C30" s="110" t="s">
        <v>81</v>
      </c>
      <c r="D30" s="25"/>
      <c r="E30" s="107"/>
      <c r="F30" s="107"/>
      <c r="G30" s="107"/>
      <c r="H30" s="120"/>
      <c r="I30" s="120"/>
      <c r="J30" s="120"/>
      <c r="K30" s="90"/>
    </row>
    <row r="31" spans="2:11" ht="7.5" customHeight="1" thickBot="1">
      <c r="B31" s="78"/>
      <c r="C31" s="85"/>
      <c r="D31" s="101"/>
      <c r="E31" s="101"/>
      <c r="F31" s="101"/>
      <c r="G31" s="101"/>
      <c r="H31" s="101"/>
      <c r="I31" s="101"/>
      <c r="J31" s="101"/>
      <c r="K31" s="106"/>
    </row>
    <row r="32" spans="2:11" ht="12.75">
      <c r="B32" s="43" t="s">
        <v>14</v>
      </c>
      <c r="C32" s="7"/>
      <c r="D32" s="8"/>
      <c r="E32" s="44">
        <v>1349761316.2418952</v>
      </c>
      <c r="F32" s="44">
        <v>1386218303.7577486</v>
      </c>
      <c r="G32" s="44">
        <v>1511741363.755793</v>
      </c>
      <c r="H32" s="121">
        <f>+H35</f>
        <v>1692572887.7691486</v>
      </c>
      <c r="I32" s="121">
        <f>+I35</f>
        <v>1452091208.8019238</v>
      </c>
      <c r="J32" s="121">
        <f>+J35</f>
        <v>2022751186.2857144</v>
      </c>
      <c r="K32" s="11" t="s">
        <v>15</v>
      </c>
    </row>
    <row r="33" spans="2:11" ht="12.75">
      <c r="B33" s="45"/>
      <c r="C33" s="46" t="s">
        <v>16</v>
      </c>
      <c r="D33" s="22"/>
      <c r="E33" s="33">
        <v>433538113</v>
      </c>
      <c r="F33" s="33">
        <v>463422064</v>
      </c>
      <c r="G33" s="34">
        <v>528483947</v>
      </c>
      <c r="H33" s="34">
        <v>626919824</v>
      </c>
      <c r="I33" s="34">
        <v>557234401</v>
      </c>
      <c r="J33" s="34">
        <f>(308927844+17470936)*12/5</f>
        <v>783357072</v>
      </c>
      <c r="K33" s="47" t="s">
        <v>17</v>
      </c>
    </row>
    <row r="34" spans="2:11" ht="12.75">
      <c r="B34" s="48"/>
      <c r="C34" s="46" t="s">
        <v>18</v>
      </c>
      <c r="D34" s="22"/>
      <c r="E34" s="33">
        <v>5143677063</v>
      </c>
      <c r="F34" s="33">
        <v>5180578090</v>
      </c>
      <c r="G34" s="34">
        <v>5516074108</v>
      </c>
      <c r="H34" s="34">
        <v>5982576300</v>
      </c>
      <c r="I34" s="34">
        <v>5023726119</v>
      </c>
      <c r="J34" s="34">
        <f>(37926704+2861222695)*12/5</f>
        <v>6957958557.6</v>
      </c>
      <c r="K34" s="47" t="s">
        <v>19</v>
      </c>
    </row>
    <row r="35" spans="2:11" ht="13.5" thickBot="1">
      <c r="B35" s="49"/>
      <c r="C35" s="50" t="s">
        <v>60</v>
      </c>
      <c r="D35" s="37"/>
      <c r="E35" s="51">
        <v>1349761316.2418952</v>
      </c>
      <c r="F35" s="51">
        <v>1386218303.7577486</v>
      </c>
      <c r="G35" s="51">
        <v>1511741363.755793</v>
      </c>
      <c r="H35" s="122">
        <f>+H33+(H34/5.614)</f>
        <v>1692572887.7691486</v>
      </c>
      <c r="I35" s="122">
        <f>+I33+(I34/5.614)</f>
        <v>1452091208.8019238</v>
      </c>
      <c r="J35" s="122">
        <f>+J33+(J34/5.614)</f>
        <v>2022751186.2857144</v>
      </c>
      <c r="K35" s="52" t="s">
        <v>15</v>
      </c>
    </row>
    <row r="36" spans="2:11" ht="7.5" customHeight="1" thickBot="1">
      <c r="B36" s="41"/>
      <c r="C36" s="53"/>
      <c r="D36" s="99"/>
      <c r="E36" s="100"/>
      <c r="F36" s="100"/>
      <c r="G36" s="100"/>
      <c r="H36" s="100"/>
      <c r="I36" s="100"/>
      <c r="J36" s="100"/>
      <c r="K36" s="99"/>
    </row>
    <row r="37" spans="1:11" ht="12.75">
      <c r="A37" s="87"/>
      <c r="B37" s="43" t="s">
        <v>20</v>
      </c>
      <c r="C37" s="80"/>
      <c r="D37" s="80"/>
      <c r="E37" s="76">
        <v>1119217154.322638</v>
      </c>
      <c r="F37" s="76">
        <v>1135895874.996435</v>
      </c>
      <c r="G37" s="76">
        <f>+G42</f>
        <v>1287742216.1122994</v>
      </c>
      <c r="H37" s="123">
        <f>+H42</f>
        <v>1432609320.7563233</v>
      </c>
      <c r="I37" s="123">
        <f>+I42</f>
        <v>1229259424.79088</v>
      </c>
      <c r="J37" s="123">
        <f>+J42</f>
        <v>1651000475.7306733</v>
      </c>
      <c r="K37" s="11" t="s">
        <v>15</v>
      </c>
    </row>
    <row r="38" spans="2:11" ht="12.75">
      <c r="B38" s="18"/>
      <c r="C38" s="46" t="s">
        <v>21</v>
      </c>
      <c r="D38" s="21"/>
      <c r="E38" s="33">
        <v>397212475</v>
      </c>
      <c r="F38" s="33">
        <v>428367993</v>
      </c>
      <c r="G38" s="33">
        <f>466939499</f>
        <v>466939499</v>
      </c>
      <c r="H38" s="34">
        <v>537866309</v>
      </c>
      <c r="I38" s="34">
        <v>492345884</v>
      </c>
      <c r="J38" s="34">
        <f>(276665629+12740691)*12/5</f>
        <v>694575168</v>
      </c>
      <c r="K38" s="47" t="s">
        <v>17</v>
      </c>
    </row>
    <row r="39" spans="2:11" ht="12.75">
      <c r="B39" s="45"/>
      <c r="C39" s="21" t="s">
        <v>22</v>
      </c>
      <c r="D39" s="21"/>
      <c r="E39" s="54">
        <v>0.9162112005594304</v>
      </c>
      <c r="F39" s="54">
        <v>0.9243582174369669</v>
      </c>
      <c r="G39" s="54">
        <f>+G38/G33</f>
        <v>0.8835452839213677</v>
      </c>
      <c r="H39" s="54">
        <f>+H38/H33</f>
        <v>0.8579507114134582</v>
      </c>
      <c r="I39" s="54">
        <f>+I38/I33</f>
        <v>0.8835525644440606</v>
      </c>
      <c r="J39" s="54">
        <f>+J38/J33</f>
        <v>0.8866648337349791</v>
      </c>
      <c r="K39" s="47"/>
    </row>
    <row r="40" spans="2:11" ht="12.75">
      <c r="B40" s="45"/>
      <c r="C40" s="46" t="s">
        <v>18</v>
      </c>
      <c r="D40" s="21"/>
      <c r="E40" s="33">
        <v>4050446251</v>
      </c>
      <c r="F40" s="33">
        <v>3969231418</v>
      </c>
      <c r="G40" s="33">
        <f>4604703243</f>
        <v>4604703243</v>
      </c>
      <c r="H40" s="34">
        <v>5023087268</v>
      </c>
      <c r="I40" s="34">
        <v>4137032618</v>
      </c>
      <c r="J40" s="34">
        <f>(30408477+2206829722)*12/5</f>
        <v>5369371677.6</v>
      </c>
      <c r="K40" s="47" t="s">
        <v>19</v>
      </c>
    </row>
    <row r="41" spans="2:11" ht="12.75">
      <c r="B41" s="18"/>
      <c r="C41" s="21" t="s">
        <v>23</v>
      </c>
      <c r="D41" s="21"/>
      <c r="E41" s="55">
        <v>0.7874612269374501</v>
      </c>
      <c r="F41" s="55">
        <v>0.7661753860368892</v>
      </c>
      <c r="G41" s="55">
        <f>+G40/G34</f>
        <v>0.8347790752705384</v>
      </c>
      <c r="H41" s="55">
        <f>+H40/H34</f>
        <v>0.8396194241601231</v>
      </c>
      <c r="I41" s="55">
        <f>+I40/I34</f>
        <v>0.8234988373178869</v>
      </c>
      <c r="J41" s="55">
        <f>+J40/J34</f>
        <v>0.771687792209566</v>
      </c>
      <c r="K41" s="47"/>
    </row>
    <row r="42" spans="1:11" ht="12.75">
      <c r="A42" s="87"/>
      <c r="B42" s="18"/>
      <c r="C42" s="46" t="s">
        <v>60</v>
      </c>
      <c r="D42" s="21"/>
      <c r="E42" s="33">
        <v>1119217154.322638</v>
      </c>
      <c r="F42" s="33">
        <v>1135895874.996435</v>
      </c>
      <c r="G42" s="33">
        <f>+(G40/5.61)+G38</f>
        <v>1287742216.1122994</v>
      </c>
      <c r="H42" s="34">
        <f>+H38+(H40/5.614)</f>
        <v>1432609320.7563233</v>
      </c>
      <c r="I42" s="34">
        <f>+I38+(I40/5.614)</f>
        <v>1229259424.79088</v>
      </c>
      <c r="J42" s="34">
        <f>+J38+(J40/5.614)</f>
        <v>1651000475.7306733</v>
      </c>
      <c r="K42" s="47" t="s">
        <v>15</v>
      </c>
    </row>
    <row r="43" spans="2:11" ht="13.5" thickBot="1">
      <c r="B43" s="36"/>
      <c r="C43" s="25" t="s">
        <v>24</v>
      </c>
      <c r="D43" s="25"/>
      <c r="E43" s="56">
        <v>0.8291963481653518</v>
      </c>
      <c r="F43" s="56">
        <v>0.8194206294327944</v>
      </c>
      <c r="G43" s="56">
        <f>+G42/G32</f>
        <v>0.8518270697528665</v>
      </c>
      <c r="H43" s="56">
        <f>+H42/H32</f>
        <v>0.8464092336044308</v>
      </c>
      <c r="I43" s="56">
        <f>+I42/I32</f>
        <v>0.8465442234893114</v>
      </c>
      <c r="J43" s="56">
        <f>+J42/J32</f>
        <v>0.8162153046427475</v>
      </c>
      <c r="K43" s="52" t="s">
        <v>15</v>
      </c>
    </row>
    <row r="44" spans="2:11" ht="7.5" customHeight="1" thickBot="1">
      <c r="B44" s="78"/>
      <c r="C44" s="85"/>
      <c r="D44" s="85"/>
      <c r="E44" s="102"/>
      <c r="F44" s="102"/>
      <c r="G44" s="102"/>
      <c r="H44" s="102"/>
      <c r="I44" s="102"/>
      <c r="J44" s="102"/>
      <c r="K44" s="85"/>
    </row>
    <row r="45" spans="2:11" ht="12.75">
      <c r="B45" s="6" t="s">
        <v>43</v>
      </c>
      <c r="C45" s="7"/>
      <c r="D45" s="7"/>
      <c r="E45" s="105"/>
      <c r="F45" s="105"/>
      <c r="G45" s="105"/>
      <c r="H45" s="105"/>
      <c r="I45" s="105"/>
      <c r="J45" s="105"/>
      <c r="K45" s="94"/>
    </row>
    <row r="46" spans="2:11" ht="12.75">
      <c r="B46" s="12" t="s">
        <v>57</v>
      </c>
      <c r="C46" s="13"/>
      <c r="D46" s="14"/>
      <c r="E46" s="103">
        <v>59119692</v>
      </c>
      <c r="F46" s="103">
        <v>72907353</v>
      </c>
      <c r="G46" s="104">
        <v>82849731</v>
      </c>
      <c r="H46" s="104">
        <v>72457655</v>
      </c>
      <c r="I46" s="104">
        <f>+I47+I48</f>
        <v>84206669</v>
      </c>
      <c r="J46" s="104">
        <v>85267112</v>
      </c>
      <c r="K46" s="29" t="s">
        <v>8</v>
      </c>
    </row>
    <row r="47" spans="2:11" ht="12.75">
      <c r="B47" s="12"/>
      <c r="C47" s="21" t="s">
        <v>9</v>
      </c>
      <c r="D47" s="22"/>
      <c r="E47" s="27">
        <v>12461879</v>
      </c>
      <c r="F47" s="27">
        <v>13723883</v>
      </c>
      <c r="G47" s="28">
        <v>16295855</v>
      </c>
      <c r="H47" s="28">
        <f>+H62+H76+H90</f>
        <v>13155320</v>
      </c>
      <c r="I47" s="28">
        <f>+I62+I76+I90</f>
        <v>11344953</v>
      </c>
      <c r="J47" s="28">
        <v>9701416</v>
      </c>
      <c r="K47" s="29"/>
    </row>
    <row r="48" spans="2:11" ht="12.75">
      <c r="B48" s="12"/>
      <c r="C48" s="21" t="s">
        <v>10</v>
      </c>
      <c r="D48" s="22"/>
      <c r="E48" s="27">
        <v>46657813</v>
      </c>
      <c r="F48" s="27">
        <v>59183470</v>
      </c>
      <c r="G48" s="28">
        <v>66553876</v>
      </c>
      <c r="H48" s="28">
        <f>+H63+H77+H91</f>
        <v>59302335</v>
      </c>
      <c r="I48" s="28">
        <f>+I63+I77+I91</f>
        <v>72861716</v>
      </c>
      <c r="J48" s="28">
        <v>75565696</v>
      </c>
      <c r="K48" s="29"/>
    </row>
    <row r="49" spans="2:11" ht="12.75">
      <c r="B49" s="12"/>
      <c r="C49" s="21" t="s">
        <v>11</v>
      </c>
      <c r="D49" s="22"/>
      <c r="E49" s="30">
        <v>0.7892093382353886</v>
      </c>
      <c r="F49" s="30">
        <v>0.8117627038249489</v>
      </c>
      <c r="G49" s="30">
        <v>0.8033082931796122</v>
      </c>
      <c r="H49" s="125">
        <f>+H48/H46</f>
        <v>0.8184412675237696</v>
      </c>
      <c r="I49" s="125">
        <f>+I48/I46</f>
        <v>0.8652725118482005</v>
      </c>
      <c r="J49" s="125">
        <v>0.886223236926331</v>
      </c>
      <c r="K49" s="29"/>
    </row>
    <row r="50" spans="2:11" ht="12.75">
      <c r="B50" s="18" t="s">
        <v>12</v>
      </c>
      <c r="C50" s="19"/>
      <c r="D50" s="20"/>
      <c r="E50" s="31">
        <v>1002</v>
      </c>
      <c r="F50" s="31">
        <v>1100</v>
      </c>
      <c r="G50" s="32">
        <v>1399</v>
      </c>
      <c r="H50" s="32">
        <v>824</v>
      </c>
      <c r="I50" s="32">
        <f>+I51+I52</f>
        <v>829</v>
      </c>
      <c r="J50" s="32">
        <v>741</v>
      </c>
      <c r="K50" s="17"/>
    </row>
    <row r="51" spans="1:11" ht="12.75">
      <c r="A51" s="87"/>
      <c r="B51" s="18"/>
      <c r="C51" s="21" t="s">
        <v>9</v>
      </c>
      <c r="D51" s="22"/>
      <c r="E51" s="33">
        <v>192</v>
      </c>
      <c r="F51" s="33">
        <v>168</v>
      </c>
      <c r="G51" s="34">
        <v>164</v>
      </c>
      <c r="H51" s="34">
        <f>+H66+H80+H94</f>
        <v>133</v>
      </c>
      <c r="I51" s="34">
        <f>+I66+I80+I94</f>
        <v>102</v>
      </c>
      <c r="J51" s="34">
        <v>78</v>
      </c>
      <c r="K51" s="17"/>
    </row>
    <row r="52" spans="2:11" ht="12.75">
      <c r="B52" s="18"/>
      <c r="C52" s="21" t="s">
        <v>10</v>
      </c>
      <c r="D52" s="22"/>
      <c r="E52" s="33">
        <v>810</v>
      </c>
      <c r="F52" s="33">
        <v>932</v>
      </c>
      <c r="G52" s="34">
        <v>1235</v>
      </c>
      <c r="H52" s="34">
        <f>+H67+H81+H95</f>
        <v>691</v>
      </c>
      <c r="I52" s="34">
        <f>+I67+I81+I95</f>
        <v>727</v>
      </c>
      <c r="J52" s="34">
        <v>663</v>
      </c>
      <c r="K52" s="17"/>
    </row>
    <row r="53" spans="2:11" ht="12.75">
      <c r="B53" s="18"/>
      <c r="C53" s="21" t="s">
        <v>11</v>
      </c>
      <c r="D53" s="22"/>
      <c r="E53" s="35">
        <v>0.8083832335329342</v>
      </c>
      <c r="F53" s="35">
        <v>0.8472727272727273</v>
      </c>
      <c r="G53" s="35">
        <v>0.8827734095782702</v>
      </c>
      <c r="H53" s="126">
        <f>+H52/H50</f>
        <v>0.8385922330097088</v>
      </c>
      <c r="I53" s="126">
        <f>+I52/I50</f>
        <v>0.8769601930036188</v>
      </c>
      <c r="J53" s="126">
        <v>0.8947368421052632</v>
      </c>
      <c r="K53" s="17"/>
    </row>
    <row r="54" spans="2:11" ht="12.75">
      <c r="B54" s="18" t="s">
        <v>13</v>
      </c>
      <c r="C54" s="19"/>
      <c r="D54" s="20"/>
      <c r="E54" s="31">
        <v>454</v>
      </c>
      <c r="F54" s="31">
        <v>507</v>
      </c>
      <c r="G54" s="32">
        <v>540</v>
      </c>
      <c r="H54" s="32">
        <v>345</v>
      </c>
      <c r="I54" s="32">
        <f>+I55+I56</f>
        <v>315</v>
      </c>
      <c r="J54" s="32">
        <v>226</v>
      </c>
      <c r="K54" s="17"/>
    </row>
    <row r="55" spans="2:11" ht="12.75">
      <c r="B55" s="18"/>
      <c r="C55" s="21" t="s">
        <v>9</v>
      </c>
      <c r="D55" s="22"/>
      <c r="E55" s="33">
        <v>89</v>
      </c>
      <c r="F55" s="33">
        <v>88</v>
      </c>
      <c r="G55" s="34">
        <v>78</v>
      </c>
      <c r="H55" s="34">
        <f>+H70+H84+H98</f>
        <v>69</v>
      </c>
      <c r="I55" s="34">
        <f>+I70+I84+I98</f>
        <v>40</v>
      </c>
      <c r="J55" s="34">
        <v>21</v>
      </c>
      <c r="K55" s="17"/>
    </row>
    <row r="56" spans="2:11" ht="12.75">
      <c r="B56" s="18"/>
      <c r="C56" s="21" t="s">
        <v>10</v>
      </c>
      <c r="D56" s="22"/>
      <c r="E56" s="33">
        <v>365</v>
      </c>
      <c r="F56" s="33">
        <v>419</v>
      </c>
      <c r="G56" s="34">
        <v>462</v>
      </c>
      <c r="H56" s="34">
        <f>+H71+H85+H99</f>
        <v>276</v>
      </c>
      <c r="I56" s="34">
        <f>+I71+I85+I99</f>
        <v>275</v>
      </c>
      <c r="J56" s="34">
        <v>205</v>
      </c>
      <c r="K56" s="17"/>
    </row>
    <row r="57" spans="2:11" ht="12.75">
      <c r="B57" s="18"/>
      <c r="C57" s="21" t="s">
        <v>11</v>
      </c>
      <c r="D57" s="22"/>
      <c r="E57" s="35">
        <v>0.8039647577092511</v>
      </c>
      <c r="F57" s="35">
        <v>0.8264299802761341</v>
      </c>
      <c r="G57" s="35">
        <v>0.8555555555555555</v>
      </c>
      <c r="H57" s="126">
        <f>+H56/H54</f>
        <v>0.8</v>
      </c>
      <c r="I57" s="126">
        <f>+I56/I54</f>
        <v>0.873015873015873</v>
      </c>
      <c r="J57" s="126">
        <v>0.9070796460176991</v>
      </c>
      <c r="K57" s="17"/>
    </row>
    <row r="58" spans="2:11" ht="13.5" thickBot="1">
      <c r="B58" s="36"/>
      <c r="C58" s="25"/>
      <c r="D58" s="37"/>
      <c r="E58" s="38"/>
      <c r="F58" s="38"/>
      <c r="G58" s="39"/>
      <c r="H58" s="39"/>
      <c r="I58" s="39"/>
      <c r="J58" s="39"/>
      <c r="K58" s="40"/>
    </row>
    <row r="59" spans="2:11" ht="10.5" customHeight="1" thickBot="1">
      <c r="B59" s="78"/>
      <c r="C59" s="41"/>
      <c r="D59" s="41"/>
      <c r="E59" s="57"/>
      <c r="F59" s="57"/>
      <c r="G59" s="57"/>
      <c r="H59" s="57"/>
      <c r="I59" s="57"/>
      <c r="J59" s="57"/>
      <c r="K59" s="41"/>
    </row>
    <row r="60" spans="2:11" ht="12.75">
      <c r="B60" s="6" t="s">
        <v>25</v>
      </c>
      <c r="C60" s="7"/>
      <c r="D60" s="7"/>
      <c r="E60" s="83"/>
      <c r="F60" s="58"/>
      <c r="G60" s="58"/>
      <c r="H60" s="127"/>
      <c r="I60" s="127"/>
      <c r="J60" s="127"/>
      <c r="K60" s="11"/>
    </row>
    <row r="61" spans="2:11" ht="12.75">
      <c r="B61" s="84" t="s">
        <v>56</v>
      </c>
      <c r="C61" s="81"/>
      <c r="D61" s="82"/>
      <c r="E61" s="59">
        <v>26931585</v>
      </c>
      <c r="F61" s="59">
        <v>29369456</v>
      </c>
      <c r="G61" s="59">
        <v>32914231</v>
      </c>
      <c r="H61" s="128">
        <v>30363749</v>
      </c>
      <c r="I61" s="128">
        <f>+I62+I63</f>
        <v>28962213</v>
      </c>
      <c r="J61" s="128">
        <f>+J62+J63</f>
        <v>28355989</v>
      </c>
      <c r="K61" s="17" t="s">
        <v>8</v>
      </c>
    </row>
    <row r="62" spans="2:11" ht="12.75">
      <c r="B62" s="18"/>
      <c r="C62" s="21" t="s">
        <v>9</v>
      </c>
      <c r="D62" s="21"/>
      <c r="E62" s="60">
        <v>11299521</v>
      </c>
      <c r="F62" s="60">
        <v>12291422</v>
      </c>
      <c r="G62" s="60">
        <v>13637700</v>
      </c>
      <c r="H62" s="129">
        <v>10875973</v>
      </c>
      <c r="I62" s="129">
        <v>9436618</v>
      </c>
      <c r="J62" s="129">
        <v>8320686</v>
      </c>
      <c r="K62" s="47" t="s">
        <v>8</v>
      </c>
    </row>
    <row r="63" spans="2:11" ht="12.75">
      <c r="B63" s="18"/>
      <c r="C63" s="21" t="s">
        <v>10</v>
      </c>
      <c r="D63" s="21"/>
      <c r="E63" s="60">
        <v>15632064</v>
      </c>
      <c r="F63" s="60">
        <v>17078034</v>
      </c>
      <c r="G63" s="60">
        <v>19276531</v>
      </c>
      <c r="H63" s="129">
        <v>19487776</v>
      </c>
      <c r="I63" s="129">
        <v>19525595</v>
      </c>
      <c r="J63" s="129">
        <v>20035303</v>
      </c>
      <c r="K63" s="47" t="s">
        <v>8</v>
      </c>
    </row>
    <row r="64" spans="2:11" ht="12.75">
      <c r="B64" s="18"/>
      <c r="C64" s="77" t="s">
        <v>11</v>
      </c>
      <c r="D64" s="77"/>
      <c r="E64" s="54">
        <v>0.5804360939023826</v>
      </c>
      <c r="F64" s="54">
        <v>0.5814896265017643</v>
      </c>
      <c r="G64" s="54">
        <v>0.5856594674807988</v>
      </c>
      <c r="H64" s="54">
        <f>+H63/H61</f>
        <v>0.6418106011876201</v>
      </c>
      <c r="I64" s="54">
        <f>+I63/I61</f>
        <v>0.6741748291126787</v>
      </c>
      <c r="J64" s="54">
        <f>+J63/J61</f>
        <v>0.7065633647974684</v>
      </c>
      <c r="K64" s="47"/>
    </row>
    <row r="65" spans="2:11" ht="12.75">
      <c r="B65" s="79" t="s">
        <v>26</v>
      </c>
      <c r="C65" s="81"/>
      <c r="D65" s="82"/>
      <c r="E65" s="15">
        <v>475</v>
      </c>
      <c r="F65" s="15">
        <v>439</v>
      </c>
      <c r="G65" s="15">
        <v>486</v>
      </c>
      <c r="H65" s="16">
        <v>331</v>
      </c>
      <c r="I65" s="16">
        <f>+I66+I67</f>
        <v>292</v>
      </c>
      <c r="J65" s="16">
        <f>+J66+J67</f>
        <v>298</v>
      </c>
      <c r="K65" s="17"/>
    </row>
    <row r="66" spans="2:11" ht="12.75">
      <c r="B66" s="18"/>
      <c r="C66" s="21" t="s">
        <v>9</v>
      </c>
      <c r="D66" s="21"/>
      <c r="E66" s="23">
        <v>190</v>
      </c>
      <c r="F66" s="23">
        <v>161</v>
      </c>
      <c r="G66" s="23">
        <v>157</v>
      </c>
      <c r="H66" s="1">
        <v>125</v>
      </c>
      <c r="I66" s="1">
        <v>98</v>
      </c>
      <c r="J66" s="1">
        <v>74</v>
      </c>
      <c r="K66" s="17"/>
    </row>
    <row r="67" spans="2:11" ht="12.75">
      <c r="B67" s="18"/>
      <c r="C67" s="21" t="s">
        <v>10</v>
      </c>
      <c r="D67" s="21"/>
      <c r="E67" s="23">
        <v>285</v>
      </c>
      <c r="F67" s="23">
        <v>278</v>
      </c>
      <c r="G67" s="23">
        <v>329</v>
      </c>
      <c r="H67" s="1">
        <v>206</v>
      </c>
      <c r="I67" s="1">
        <v>194</v>
      </c>
      <c r="J67" s="1">
        <v>224</v>
      </c>
      <c r="K67" s="17"/>
    </row>
    <row r="68" spans="2:11" ht="12.75">
      <c r="B68" s="18"/>
      <c r="C68" s="21" t="s">
        <v>11</v>
      </c>
      <c r="D68" s="21"/>
      <c r="E68" s="35">
        <v>0.6</v>
      </c>
      <c r="F68" s="35">
        <v>0.6332574031890661</v>
      </c>
      <c r="G68" s="35">
        <v>0.676954732510288</v>
      </c>
      <c r="H68" s="126">
        <f>+H67/H65</f>
        <v>0.622356495468278</v>
      </c>
      <c r="I68" s="126">
        <f>+I67/I65</f>
        <v>0.6643835616438356</v>
      </c>
      <c r="J68" s="126">
        <f>+J67/J65</f>
        <v>0.7516778523489933</v>
      </c>
      <c r="K68" s="17"/>
    </row>
    <row r="69" spans="2:11" ht="12.75">
      <c r="B69" s="79" t="s">
        <v>27</v>
      </c>
      <c r="C69" s="81"/>
      <c r="D69" s="82"/>
      <c r="E69" s="61">
        <v>231</v>
      </c>
      <c r="F69" s="61">
        <v>216</v>
      </c>
      <c r="G69" s="61">
        <v>227</v>
      </c>
      <c r="H69" s="130">
        <v>154</v>
      </c>
      <c r="I69" s="130">
        <f>+I70+I71</f>
        <v>107</v>
      </c>
      <c r="J69" s="130">
        <f>+J70+J71</f>
        <v>95</v>
      </c>
      <c r="K69" s="17"/>
    </row>
    <row r="70" spans="2:11" ht="12.75">
      <c r="B70" s="18"/>
      <c r="C70" s="21" t="s">
        <v>9</v>
      </c>
      <c r="D70" s="21"/>
      <c r="E70" s="62">
        <v>88</v>
      </c>
      <c r="F70" s="62">
        <v>85</v>
      </c>
      <c r="G70" s="62">
        <v>76</v>
      </c>
      <c r="H70" s="63">
        <v>65</v>
      </c>
      <c r="I70" s="63">
        <v>37</v>
      </c>
      <c r="J70" s="63">
        <v>21</v>
      </c>
      <c r="K70" s="17"/>
    </row>
    <row r="71" spans="2:11" ht="12.75">
      <c r="B71" s="18"/>
      <c r="C71" s="21" t="s">
        <v>10</v>
      </c>
      <c r="D71" s="21"/>
      <c r="E71" s="62">
        <v>143</v>
      </c>
      <c r="F71" s="62">
        <v>131</v>
      </c>
      <c r="G71" s="62">
        <v>151</v>
      </c>
      <c r="H71" s="63">
        <v>89</v>
      </c>
      <c r="I71" s="63">
        <v>70</v>
      </c>
      <c r="J71" s="63">
        <v>74</v>
      </c>
      <c r="K71" s="17"/>
    </row>
    <row r="72" spans="2:11" ht="13.5" thickBot="1">
      <c r="B72" s="36"/>
      <c r="C72" s="25" t="s">
        <v>11</v>
      </c>
      <c r="D72" s="25"/>
      <c r="E72" s="73">
        <v>0.6190476190476191</v>
      </c>
      <c r="F72" s="73">
        <v>0.6064814814814815</v>
      </c>
      <c r="G72" s="73">
        <v>0.6651982378854625</v>
      </c>
      <c r="H72" s="131">
        <f>+H71/H69</f>
        <v>0.577922077922078</v>
      </c>
      <c r="I72" s="131">
        <f>+I71/I69</f>
        <v>0.6542056074766355</v>
      </c>
      <c r="J72" s="131">
        <f>+J71/J69</f>
        <v>0.7789473684210526</v>
      </c>
      <c r="K72" s="40"/>
    </row>
    <row r="73" spans="2:11" ht="7.5" customHeight="1" thickBot="1">
      <c r="B73" s="78"/>
      <c r="C73" s="41"/>
      <c r="D73" s="96"/>
      <c r="E73" s="98"/>
      <c r="F73" s="98"/>
      <c r="G73" s="97"/>
      <c r="H73" s="132"/>
      <c r="I73" s="132"/>
      <c r="J73" s="132"/>
      <c r="K73" s="82"/>
    </row>
    <row r="74" spans="2:11" ht="12.75">
      <c r="B74" s="6" t="s">
        <v>28</v>
      </c>
      <c r="C74" s="7"/>
      <c r="D74" s="8"/>
      <c r="E74" s="64"/>
      <c r="F74" s="64"/>
      <c r="G74" s="65"/>
      <c r="H74" s="65"/>
      <c r="I74" s="65"/>
      <c r="J74" s="65"/>
      <c r="K74" s="11"/>
    </row>
    <row r="75" spans="2:11" ht="12.75">
      <c r="B75" s="18" t="s">
        <v>55</v>
      </c>
      <c r="C75" s="19"/>
      <c r="D75" s="20"/>
      <c r="E75" s="31">
        <v>26098790</v>
      </c>
      <c r="F75" s="31">
        <v>32050925</v>
      </c>
      <c r="G75" s="31">
        <v>39320844</v>
      </c>
      <c r="H75" s="32">
        <v>32830669</v>
      </c>
      <c r="I75" s="32">
        <f>+I76+I77</f>
        <v>42873741</v>
      </c>
      <c r="J75" s="32">
        <f>+J76+J77</f>
        <v>44058167</v>
      </c>
      <c r="K75" s="17" t="s">
        <v>8</v>
      </c>
    </row>
    <row r="76" spans="2:11" ht="12.75">
      <c r="B76" s="18"/>
      <c r="C76" s="21" t="s">
        <v>9</v>
      </c>
      <c r="D76" s="22"/>
      <c r="E76" s="33">
        <v>980090</v>
      </c>
      <c r="F76" s="33">
        <v>1192565</v>
      </c>
      <c r="G76" s="34">
        <v>1726285</v>
      </c>
      <c r="H76" s="34">
        <v>1634382</v>
      </c>
      <c r="I76" s="34">
        <v>1479957</v>
      </c>
      <c r="J76" s="34">
        <v>931170</v>
      </c>
      <c r="K76" s="47" t="s">
        <v>8</v>
      </c>
    </row>
    <row r="77" spans="2:11" ht="12.75">
      <c r="B77" s="18"/>
      <c r="C77" s="21" t="s">
        <v>10</v>
      </c>
      <c r="D77" s="22"/>
      <c r="E77" s="33">
        <v>25118700</v>
      </c>
      <c r="F77" s="33">
        <v>30858360</v>
      </c>
      <c r="G77" s="34">
        <v>37594559</v>
      </c>
      <c r="H77" s="34">
        <v>31196287</v>
      </c>
      <c r="I77" s="34">
        <v>41393784</v>
      </c>
      <c r="J77" s="34">
        <v>43126997</v>
      </c>
      <c r="K77" s="47" t="s">
        <v>8</v>
      </c>
    </row>
    <row r="78" spans="2:11" ht="12.75">
      <c r="B78" s="18"/>
      <c r="C78" s="21" t="s">
        <v>11</v>
      </c>
      <c r="D78" s="22"/>
      <c r="E78" s="54">
        <v>0.9624469180371964</v>
      </c>
      <c r="F78" s="54">
        <v>0.9627915574979505</v>
      </c>
      <c r="G78" s="54">
        <v>0.9560974581318753</v>
      </c>
      <c r="H78" s="124">
        <f>+H77/H75</f>
        <v>0.9502178283360598</v>
      </c>
      <c r="I78" s="124">
        <f>+I77/I75</f>
        <v>0.9654810388484644</v>
      </c>
      <c r="J78" s="124">
        <f>+J77/J75</f>
        <v>0.9788649854634216</v>
      </c>
      <c r="K78" s="47"/>
    </row>
    <row r="79" spans="2:11" ht="12.75">
      <c r="B79" s="18" t="s">
        <v>29</v>
      </c>
      <c r="C79" s="19"/>
      <c r="D79" s="20"/>
      <c r="E79" s="61">
        <v>439</v>
      </c>
      <c r="F79" s="61">
        <v>564</v>
      </c>
      <c r="G79" s="61">
        <v>754</v>
      </c>
      <c r="H79" s="130">
        <v>378</v>
      </c>
      <c r="I79" s="130">
        <f>+I80+I81</f>
        <v>423</v>
      </c>
      <c r="J79" s="130">
        <f>+J80+J81</f>
        <v>358</v>
      </c>
      <c r="K79" s="17"/>
    </row>
    <row r="80" spans="2:11" ht="12.75">
      <c r="B80" s="18"/>
      <c r="C80" s="21" t="s">
        <v>9</v>
      </c>
      <c r="D80" s="22"/>
      <c r="E80" s="62">
        <v>2</v>
      </c>
      <c r="F80" s="62">
        <v>7</v>
      </c>
      <c r="G80" s="63">
        <v>6</v>
      </c>
      <c r="H80" s="63">
        <v>6</v>
      </c>
      <c r="I80" s="63">
        <v>4</v>
      </c>
      <c r="J80" s="63">
        <v>3</v>
      </c>
      <c r="K80" s="17"/>
    </row>
    <row r="81" spans="2:11" ht="12.75">
      <c r="B81" s="18"/>
      <c r="C81" s="21" t="s">
        <v>10</v>
      </c>
      <c r="D81" s="22"/>
      <c r="E81" s="62">
        <v>437</v>
      </c>
      <c r="F81" s="62">
        <v>557</v>
      </c>
      <c r="G81" s="63">
        <v>748</v>
      </c>
      <c r="H81" s="63">
        <v>372</v>
      </c>
      <c r="I81" s="63">
        <v>419</v>
      </c>
      <c r="J81" s="63">
        <v>355</v>
      </c>
      <c r="K81" s="17"/>
    </row>
    <row r="82" spans="2:11" ht="12.75">
      <c r="B82" s="18"/>
      <c r="C82" s="21" t="s">
        <v>11</v>
      </c>
      <c r="D82" s="22"/>
      <c r="E82" s="54">
        <v>0.9954441913439636</v>
      </c>
      <c r="F82" s="54">
        <v>0.9875886524822695</v>
      </c>
      <c r="G82" s="54">
        <v>0.9920424403183024</v>
      </c>
      <c r="H82" s="124">
        <f>+H81/H79</f>
        <v>0.9841269841269841</v>
      </c>
      <c r="I82" s="124">
        <f>+I81/I79</f>
        <v>0.9905437352245863</v>
      </c>
      <c r="J82" s="124">
        <f>+J81/J79</f>
        <v>0.9916201117318436</v>
      </c>
      <c r="K82" s="17"/>
    </row>
    <row r="83" spans="2:11" ht="12.75">
      <c r="B83" s="12" t="s">
        <v>30</v>
      </c>
      <c r="C83" s="13"/>
      <c r="D83" s="14"/>
      <c r="E83" s="15">
        <v>177</v>
      </c>
      <c r="F83" s="15">
        <v>248</v>
      </c>
      <c r="G83" s="15">
        <v>259</v>
      </c>
      <c r="H83" s="16">
        <v>139</v>
      </c>
      <c r="I83" s="16">
        <f>+I84+I85</f>
        <v>159</v>
      </c>
      <c r="J83" s="16">
        <f>+J84+J85</f>
        <v>107</v>
      </c>
      <c r="K83" s="17"/>
    </row>
    <row r="84" spans="2:11" ht="12.75">
      <c r="B84" s="48"/>
      <c r="C84" s="21" t="s">
        <v>9</v>
      </c>
      <c r="D84" s="22"/>
      <c r="E84" s="23">
        <v>1</v>
      </c>
      <c r="F84" s="23">
        <v>3</v>
      </c>
      <c r="G84" s="1">
        <v>1</v>
      </c>
      <c r="H84" s="1">
        <v>4</v>
      </c>
      <c r="I84" s="1">
        <v>3</v>
      </c>
      <c r="J84" s="1">
        <v>0</v>
      </c>
      <c r="K84" s="17"/>
    </row>
    <row r="85" spans="2:11" ht="12.75">
      <c r="B85" s="48"/>
      <c r="C85" s="21" t="s">
        <v>10</v>
      </c>
      <c r="D85" s="22"/>
      <c r="E85" s="23">
        <v>176</v>
      </c>
      <c r="F85" s="23">
        <v>245</v>
      </c>
      <c r="G85" s="1">
        <v>258</v>
      </c>
      <c r="H85" s="1">
        <v>135</v>
      </c>
      <c r="I85" s="1">
        <v>156</v>
      </c>
      <c r="J85" s="1">
        <v>107</v>
      </c>
      <c r="K85" s="17"/>
    </row>
    <row r="86" spans="1:11" ht="13.5" thickBot="1">
      <c r="A86" s="87"/>
      <c r="B86" s="66"/>
      <c r="C86" s="25" t="s">
        <v>11</v>
      </c>
      <c r="D86" s="37"/>
      <c r="E86" s="56">
        <v>0.9943502824858758</v>
      </c>
      <c r="F86" s="56">
        <v>0.9879032258064516</v>
      </c>
      <c r="G86" s="67">
        <v>0.9961389961389961</v>
      </c>
      <c r="H86" s="133">
        <f>+H85/H83</f>
        <v>0.9712230215827338</v>
      </c>
      <c r="I86" s="133">
        <f>+I85/I83</f>
        <v>0.9811320754716981</v>
      </c>
      <c r="J86" s="133">
        <f>+J85/J83</f>
        <v>1</v>
      </c>
      <c r="K86" s="40"/>
    </row>
    <row r="87" spans="2:11" ht="7.5" customHeight="1" thickBot="1">
      <c r="B87" s="78"/>
      <c r="C87" s="41"/>
      <c r="D87" s="96"/>
      <c r="E87" s="98"/>
      <c r="F87" s="98"/>
      <c r="G87" s="97"/>
      <c r="H87" s="132"/>
      <c r="I87" s="132"/>
      <c r="J87" s="132"/>
      <c r="K87" s="82"/>
    </row>
    <row r="88" spans="2:11" ht="12.75">
      <c r="B88" s="6" t="s">
        <v>31</v>
      </c>
      <c r="C88" s="7"/>
      <c r="D88" s="8"/>
      <c r="E88" s="64"/>
      <c r="F88" s="64"/>
      <c r="G88" s="65"/>
      <c r="H88" s="65"/>
      <c r="I88" s="65"/>
      <c r="J88" s="65"/>
      <c r="K88" s="11"/>
    </row>
    <row r="89" spans="2:11" ht="12.75">
      <c r="B89" s="18" t="s">
        <v>54</v>
      </c>
      <c r="C89" s="19"/>
      <c r="D89" s="20"/>
      <c r="E89" s="31">
        <v>6089317</v>
      </c>
      <c r="F89" s="31">
        <v>11486972</v>
      </c>
      <c r="G89" s="31">
        <v>10614656</v>
      </c>
      <c r="H89" s="32">
        <v>9263237</v>
      </c>
      <c r="I89" s="32">
        <f>+I90+I91</f>
        <v>12370715</v>
      </c>
      <c r="J89" s="32">
        <f>+J90+J91</f>
        <v>12852956</v>
      </c>
      <c r="K89" s="17" t="s">
        <v>8</v>
      </c>
    </row>
    <row r="90" spans="2:11" ht="12.75">
      <c r="B90" s="18"/>
      <c r="C90" s="21" t="s">
        <v>9</v>
      </c>
      <c r="D90" s="22"/>
      <c r="E90" s="33">
        <v>182268</v>
      </c>
      <c r="F90" s="33">
        <v>239896</v>
      </c>
      <c r="G90" s="33">
        <v>931870</v>
      </c>
      <c r="H90" s="34">
        <v>644965</v>
      </c>
      <c r="I90" s="34">
        <v>428378</v>
      </c>
      <c r="J90" s="34">
        <v>449560</v>
      </c>
      <c r="K90" s="47" t="s">
        <v>8</v>
      </c>
    </row>
    <row r="91" spans="2:11" ht="12.75">
      <c r="B91" s="18"/>
      <c r="C91" s="21" t="s">
        <v>10</v>
      </c>
      <c r="D91" s="22"/>
      <c r="E91" s="33">
        <v>5907049</v>
      </c>
      <c r="F91" s="33">
        <v>11247076</v>
      </c>
      <c r="G91" s="34">
        <v>9682786</v>
      </c>
      <c r="H91" s="34">
        <v>8618272</v>
      </c>
      <c r="I91" s="34">
        <v>11942337</v>
      </c>
      <c r="J91" s="34">
        <v>12403396</v>
      </c>
      <c r="K91" s="47" t="s">
        <v>8</v>
      </c>
    </row>
    <row r="92" spans="2:11" ht="12.75">
      <c r="B92" s="18"/>
      <c r="C92" s="21" t="s">
        <v>11</v>
      </c>
      <c r="D92" s="22"/>
      <c r="E92" s="54">
        <v>0.9700675790076293</v>
      </c>
      <c r="F92" s="54">
        <v>0.9791158192080559</v>
      </c>
      <c r="G92" s="54">
        <v>0.9122091191650488</v>
      </c>
      <c r="H92" s="124">
        <f>+H91/H89</f>
        <v>0.9303736911837622</v>
      </c>
      <c r="I92" s="124">
        <f>+I91/I89</f>
        <v>0.9653716054407526</v>
      </c>
      <c r="J92" s="124">
        <f>+J91/J89</f>
        <v>0.9650228321018138</v>
      </c>
      <c r="K92" s="47"/>
    </row>
    <row r="93" spans="2:11" ht="12.75">
      <c r="B93" s="12" t="s">
        <v>32</v>
      </c>
      <c r="C93" s="68"/>
      <c r="D93" s="14"/>
      <c r="E93" s="15">
        <v>88</v>
      </c>
      <c r="F93" s="15">
        <v>97</v>
      </c>
      <c r="G93" s="15">
        <v>159</v>
      </c>
      <c r="H93" s="16">
        <v>115</v>
      </c>
      <c r="I93" s="16">
        <f>+I94+I95</f>
        <v>114</v>
      </c>
      <c r="J93" s="16">
        <f>+J94+J95</f>
        <v>85</v>
      </c>
      <c r="K93" s="69"/>
    </row>
    <row r="94" spans="2:11" ht="12.75">
      <c r="B94" s="12"/>
      <c r="C94" s="21" t="s">
        <v>9</v>
      </c>
      <c r="D94" s="22"/>
      <c r="E94" s="23">
        <v>0</v>
      </c>
      <c r="F94" s="23">
        <v>0</v>
      </c>
      <c r="G94" s="1">
        <v>1</v>
      </c>
      <c r="H94" s="1">
        <v>2</v>
      </c>
      <c r="I94" s="1">
        <v>0</v>
      </c>
      <c r="J94" s="1">
        <v>1</v>
      </c>
      <c r="K94" s="70"/>
    </row>
    <row r="95" spans="2:11" ht="12.75">
      <c r="B95" s="12"/>
      <c r="C95" s="21" t="s">
        <v>10</v>
      </c>
      <c r="D95" s="22"/>
      <c r="E95" s="23">
        <v>88</v>
      </c>
      <c r="F95" s="23">
        <v>97</v>
      </c>
      <c r="G95" s="1">
        <v>158</v>
      </c>
      <c r="H95" s="1">
        <v>113</v>
      </c>
      <c r="I95" s="1">
        <v>114</v>
      </c>
      <c r="J95" s="1">
        <v>84</v>
      </c>
      <c r="K95" s="70"/>
    </row>
    <row r="96" spans="2:11" ht="12.75">
      <c r="B96" s="12"/>
      <c r="C96" s="21" t="s">
        <v>11</v>
      </c>
      <c r="D96" s="22"/>
      <c r="E96" s="71">
        <v>1</v>
      </c>
      <c r="F96" s="71">
        <v>1</v>
      </c>
      <c r="G96" s="54">
        <v>0.9937106918238994</v>
      </c>
      <c r="H96" s="124">
        <f>+H95/H93:H93</f>
        <v>0.9826086956521739</v>
      </c>
      <c r="I96" s="124">
        <f>+I95/I93:I93</f>
        <v>1</v>
      </c>
      <c r="J96" s="124">
        <f>+J95/J93:J93</f>
        <v>0.9882352941176471</v>
      </c>
      <c r="K96" s="70"/>
    </row>
    <row r="97" spans="2:11" ht="12.75">
      <c r="B97" s="12" t="s">
        <v>33</v>
      </c>
      <c r="C97" s="13"/>
      <c r="D97" s="20"/>
      <c r="E97" s="15">
        <v>46</v>
      </c>
      <c r="F97" s="15">
        <v>43</v>
      </c>
      <c r="G97" s="15">
        <v>54</v>
      </c>
      <c r="H97" s="16">
        <v>52</v>
      </c>
      <c r="I97" s="16">
        <f>+I98+I99</f>
        <v>49</v>
      </c>
      <c r="J97" s="16">
        <f>+J98+J99</f>
        <v>24</v>
      </c>
      <c r="K97" s="69"/>
    </row>
    <row r="98" spans="2:11" ht="12.75">
      <c r="B98" s="12"/>
      <c r="C98" s="21" t="s">
        <v>9</v>
      </c>
      <c r="D98" s="22"/>
      <c r="E98" s="23">
        <v>0</v>
      </c>
      <c r="F98" s="23">
        <v>0</v>
      </c>
      <c r="G98" s="1">
        <v>1</v>
      </c>
      <c r="H98" s="1">
        <v>0</v>
      </c>
      <c r="I98" s="1">
        <v>0</v>
      </c>
      <c r="J98" s="1">
        <v>0</v>
      </c>
      <c r="K98" s="69"/>
    </row>
    <row r="99" spans="2:11" ht="12.75">
      <c r="B99" s="12"/>
      <c r="C99" s="21" t="s">
        <v>10</v>
      </c>
      <c r="D99" s="22"/>
      <c r="E99" s="23">
        <v>46</v>
      </c>
      <c r="F99" s="23">
        <v>43</v>
      </c>
      <c r="G99" s="1">
        <v>53</v>
      </c>
      <c r="H99" s="1">
        <v>52</v>
      </c>
      <c r="I99" s="1">
        <v>49</v>
      </c>
      <c r="J99" s="1">
        <v>24</v>
      </c>
      <c r="K99" s="69"/>
    </row>
    <row r="100" spans="1:11" ht="13.5" thickBot="1">
      <c r="A100" s="87"/>
      <c r="B100" s="36"/>
      <c r="C100" s="25" t="s">
        <v>11</v>
      </c>
      <c r="D100" s="37"/>
      <c r="E100" s="72">
        <v>1</v>
      </c>
      <c r="F100" s="72">
        <v>1</v>
      </c>
      <c r="G100" s="73">
        <v>0.9814814814814815</v>
      </c>
      <c r="H100" s="131">
        <f>+H99/H97</f>
        <v>1</v>
      </c>
      <c r="I100" s="131">
        <f>+I99/I97</f>
        <v>1</v>
      </c>
      <c r="J100" s="131">
        <f>+J99/J97</f>
        <v>1</v>
      </c>
      <c r="K100" s="74"/>
    </row>
    <row r="101" ht="12.75">
      <c r="B101" s="75" t="s">
        <v>53</v>
      </c>
    </row>
    <row r="102" ht="12.75">
      <c r="B102" s="75"/>
    </row>
  </sheetData>
  <mergeCells count="1">
    <mergeCell ref="B2:K2"/>
  </mergeCells>
  <printOptions/>
  <pageMargins left="0.38" right="0.19" top="0.59" bottom="1.91" header="0.37" footer="0.18"/>
  <pageSetup horizontalDpi="600" verticalDpi="600" orientation="portrait" scale="85" r:id="rId1"/>
  <headerFooter alignWithMargins="0">
    <oddHeader>&amp;C&amp;F</oddHeader>
    <oddFooter>&amp;CPrepared by Staci Atkins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E103"/>
  <sheetViews>
    <sheetView workbookViewId="0" topLeftCell="A13">
      <selection activeCell="E28" sqref="E28"/>
    </sheetView>
  </sheetViews>
  <sheetFormatPr defaultColWidth="9.140625" defaultRowHeight="12.75"/>
  <cols>
    <col min="4" max="4" width="20.28125" style="0" customWidth="1"/>
    <col min="5" max="5" width="19.7109375" style="0" customWidth="1"/>
  </cols>
  <sheetData>
    <row r="4" spans="2:5" ht="15.75">
      <c r="B4" s="2" t="s">
        <v>90</v>
      </c>
      <c r="C4" s="3"/>
      <c r="D4" s="3"/>
      <c r="E4" s="3"/>
    </row>
    <row r="5" spans="2:5" ht="18">
      <c r="B5" s="4"/>
      <c r="C5" s="3"/>
      <c r="D5" s="3"/>
      <c r="E5" s="3"/>
    </row>
    <row r="6" spans="2:5" ht="13.5" thickBot="1">
      <c r="B6" s="3"/>
      <c r="C6" s="3"/>
      <c r="D6" s="3"/>
      <c r="E6" s="5">
        <v>2001</v>
      </c>
    </row>
    <row r="7" spans="2:5" ht="12.75">
      <c r="B7" s="6" t="s">
        <v>1</v>
      </c>
      <c r="C7" s="7"/>
      <c r="D7" s="8"/>
      <c r="E7" s="10">
        <v>1265</v>
      </c>
    </row>
    <row r="8" spans="2:5" ht="12.75">
      <c r="B8" s="12" t="s">
        <v>3</v>
      </c>
      <c r="C8" s="13"/>
      <c r="D8" s="14"/>
      <c r="E8" s="16">
        <v>847</v>
      </c>
    </row>
    <row r="9" spans="2:5" ht="12.75">
      <c r="B9" s="18" t="s">
        <v>4</v>
      </c>
      <c r="C9" s="19"/>
      <c r="D9" s="20"/>
      <c r="E9" s="16"/>
    </row>
    <row r="10" spans="2:5" ht="12.75">
      <c r="B10" s="18"/>
      <c r="C10" s="19" t="s">
        <v>6</v>
      </c>
      <c r="D10" s="22"/>
      <c r="E10" s="16">
        <v>1932</v>
      </c>
    </row>
    <row r="11" spans="2:5" ht="12.75">
      <c r="B11" s="18"/>
      <c r="C11" s="19" t="s">
        <v>7</v>
      </c>
      <c r="D11" s="22"/>
      <c r="E11" s="16">
        <v>1971</v>
      </c>
    </row>
    <row r="12" spans="2:5" ht="12.75">
      <c r="B12" s="18" t="s">
        <v>36</v>
      </c>
      <c r="C12" s="19"/>
      <c r="D12" s="22"/>
      <c r="E12" s="16"/>
    </row>
    <row r="13" spans="2:5" ht="12.75">
      <c r="B13" s="18"/>
      <c r="C13" s="19" t="s">
        <v>6</v>
      </c>
      <c r="D13" s="22"/>
      <c r="E13" s="16">
        <v>1338</v>
      </c>
    </row>
    <row r="14" spans="2:5" ht="12.75">
      <c r="B14" s="24"/>
      <c r="C14" s="112" t="s">
        <v>7</v>
      </c>
      <c r="D14" s="26"/>
      <c r="E14" s="15">
        <v>1377</v>
      </c>
    </row>
    <row r="15" spans="2:5" ht="12.75">
      <c r="B15" s="18" t="s">
        <v>37</v>
      </c>
      <c r="C15" s="19"/>
      <c r="D15" s="22"/>
      <c r="E15" s="15">
        <v>9</v>
      </c>
    </row>
    <row r="16" spans="2:5" ht="12.75">
      <c r="B16" s="18" t="s">
        <v>59</v>
      </c>
      <c r="C16" s="19"/>
      <c r="D16" s="22"/>
      <c r="E16" s="15">
        <v>84</v>
      </c>
    </row>
    <row r="17" spans="2:5" ht="12.75">
      <c r="B17" s="18" t="s">
        <v>38</v>
      </c>
      <c r="C17" s="19"/>
      <c r="D17" s="22"/>
      <c r="E17" s="15"/>
    </row>
    <row r="18" spans="2:5" ht="12.75">
      <c r="B18" s="89"/>
      <c r="C18" s="19" t="s">
        <v>34</v>
      </c>
      <c r="D18" s="22"/>
      <c r="E18" s="15">
        <v>307</v>
      </c>
    </row>
    <row r="19" spans="2:5" ht="12.75">
      <c r="B19" s="89"/>
      <c r="C19" s="19" t="s">
        <v>35</v>
      </c>
      <c r="D19" s="22"/>
      <c r="E19" s="15">
        <v>3969</v>
      </c>
    </row>
    <row r="20" spans="2:5" ht="12.75">
      <c r="B20" s="18" t="s">
        <v>39</v>
      </c>
      <c r="C20" s="21"/>
      <c r="D20" s="22"/>
      <c r="E20" s="15">
        <v>2072</v>
      </c>
    </row>
    <row r="21" spans="2:5" ht="13.5" thickBot="1">
      <c r="B21" s="36" t="s">
        <v>40</v>
      </c>
      <c r="C21" s="25"/>
      <c r="D21" s="37"/>
      <c r="E21" s="107">
        <v>66065</v>
      </c>
    </row>
    <row r="22" spans="2:5" ht="13.5" thickBot="1">
      <c r="B22" s="3"/>
      <c r="C22" s="3"/>
      <c r="D22" s="3"/>
      <c r="E22" s="3"/>
    </row>
    <row r="23" spans="2:5" ht="12.75">
      <c r="B23" s="6" t="s">
        <v>51</v>
      </c>
      <c r="C23" s="91"/>
      <c r="D23" s="92"/>
      <c r="E23" s="91"/>
    </row>
    <row r="24" spans="2:5" ht="12.75">
      <c r="B24" s="48"/>
      <c r="C24" s="13" t="s">
        <v>41</v>
      </c>
      <c r="D24" s="113" t="s">
        <v>42</v>
      </c>
      <c r="E24" s="15">
        <v>762</v>
      </c>
    </row>
    <row r="25" spans="2:5" ht="12.75">
      <c r="B25" s="45"/>
      <c r="C25" s="116" t="s">
        <v>49</v>
      </c>
      <c r="D25" s="20"/>
      <c r="E25" s="15">
        <v>10</v>
      </c>
    </row>
    <row r="26" spans="2:5" ht="12.75">
      <c r="B26" s="45"/>
      <c r="C26" s="116" t="s">
        <v>50</v>
      </c>
      <c r="D26" s="20"/>
      <c r="E26" s="15">
        <v>2</v>
      </c>
    </row>
    <row r="27" spans="2:5" ht="12.75">
      <c r="B27" s="18" t="s">
        <v>52</v>
      </c>
      <c r="C27" s="95"/>
      <c r="D27" s="22"/>
      <c r="E27" s="15"/>
    </row>
    <row r="28" spans="2:5" ht="12.75">
      <c r="B28" s="45"/>
      <c r="C28" s="13" t="s">
        <v>41</v>
      </c>
      <c r="D28" s="113" t="s">
        <v>42</v>
      </c>
      <c r="E28" s="134">
        <v>59.21</v>
      </c>
    </row>
    <row r="29" spans="2:5" ht="12.75">
      <c r="B29" s="117"/>
      <c r="C29" s="118" t="s">
        <v>49</v>
      </c>
      <c r="D29" s="114"/>
      <c r="E29" s="15">
        <v>30.56</v>
      </c>
    </row>
    <row r="30" spans="2:5" ht="12.75">
      <c r="B30" s="45"/>
      <c r="C30" s="116" t="s">
        <v>50</v>
      </c>
      <c r="D30" s="20"/>
      <c r="E30" s="15">
        <v>141</v>
      </c>
    </row>
    <row r="31" spans="2:5" ht="12.75">
      <c r="B31" s="18" t="s">
        <v>82</v>
      </c>
      <c r="C31" s="109"/>
      <c r="D31" s="86"/>
      <c r="E31" s="15">
        <v>263</v>
      </c>
    </row>
    <row r="32" spans="2:5" ht="13.5" thickBot="1">
      <c r="B32" s="115"/>
      <c r="C32" s="110" t="s">
        <v>81</v>
      </c>
      <c r="D32" s="25"/>
      <c r="E32" s="120"/>
    </row>
    <row r="33" spans="2:5" ht="13.5" thickBot="1">
      <c r="B33" s="78"/>
      <c r="C33" s="85"/>
      <c r="D33" s="101"/>
      <c r="E33" s="101"/>
    </row>
    <row r="34" spans="2:5" ht="12.75">
      <c r="B34" s="43" t="s">
        <v>14</v>
      </c>
      <c r="C34" s="7"/>
      <c r="D34" s="8"/>
      <c r="E34" s="121">
        <f>+E37</f>
        <v>2022751186.2857144</v>
      </c>
    </row>
    <row r="35" spans="2:5" ht="12.75">
      <c r="B35" s="45"/>
      <c r="C35" s="46" t="s">
        <v>16</v>
      </c>
      <c r="D35" s="22"/>
      <c r="E35" s="34">
        <f>(308927844+17470936)*12/5</f>
        <v>783357072</v>
      </c>
    </row>
    <row r="36" spans="2:5" ht="12.75">
      <c r="B36" s="48"/>
      <c r="C36" s="46" t="s">
        <v>18</v>
      </c>
      <c r="D36" s="22"/>
      <c r="E36" s="34">
        <f>(37926704+2861222695)*12/5</f>
        <v>6957958557.6</v>
      </c>
    </row>
    <row r="37" spans="2:5" ht="13.5" thickBot="1">
      <c r="B37" s="49"/>
      <c r="C37" s="50" t="s">
        <v>60</v>
      </c>
      <c r="D37" s="37"/>
      <c r="E37" s="122">
        <f>+E35+(E36/5.614)</f>
        <v>2022751186.2857144</v>
      </c>
    </row>
    <row r="38" spans="2:5" ht="13.5" thickBot="1">
      <c r="B38" s="41"/>
      <c r="C38" s="53"/>
      <c r="D38" s="99"/>
      <c r="E38" s="100"/>
    </row>
    <row r="39" spans="2:5" ht="12.75">
      <c r="B39" s="43" t="s">
        <v>20</v>
      </c>
      <c r="C39" s="80"/>
      <c r="D39" s="80"/>
      <c r="E39" s="123">
        <f>+E44</f>
        <v>1651000475.7306733</v>
      </c>
    </row>
    <row r="40" spans="2:5" ht="12.75">
      <c r="B40" s="18"/>
      <c r="C40" s="46" t="s">
        <v>21</v>
      </c>
      <c r="D40" s="21"/>
      <c r="E40" s="34">
        <f>(276665629+12740691)*12/5</f>
        <v>694575168</v>
      </c>
    </row>
    <row r="41" spans="2:5" ht="12.75">
      <c r="B41" s="45"/>
      <c r="C41" s="21" t="s">
        <v>22</v>
      </c>
      <c r="D41" s="21"/>
      <c r="E41" s="54">
        <f>+E40/E35</f>
        <v>0.8866648337349791</v>
      </c>
    </row>
    <row r="42" spans="2:5" ht="12.75">
      <c r="B42" s="45"/>
      <c r="C42" s="46" t="s">
        <v>18</v>
      </c>
      <c r="D42" s="21"/>
      <c r="E42" s="34">
        <f>(30408477+2206829722)*12/5</f>
        <v>5369371677.6</v>
      </c>
    </row>
    <row r="43" spans="2:5" ht="12.75">
      <c r="B43" s="18"/>
      <c r="C43" s="21" t="s">
        <v>23</v>
      </c>
      <c r="D43" s="21"/>
      <c r="E43" s="55">
        <f>+E42/E36</f>
        <v>0.771687792209566</v>
      </c>
    </row>
    <row r="44" spans="2:5" ht="12.75">
      <c r="B44" s="18"/>
      <c r="C44" s="46" t="s">
        <v>60</v>
      </c>
      <c r="D44" s="21"/>
      <c r="E44" s="34">
        <f>+E40+(E42/5.614)</f>
        <v>1651000475.7306733</v>
      </c>
    </row>
    <row r="45" spans="2:5" ht="13.5" thickBot="1">
      <c r="B45" s="36"/>
      <c r="C45" s="25" t="s">
        <v>24</v>
      </c>
      <c r="D45" s="25"/>
      <c r="E45" s="56">
        <f>+E44/E34</f>
        <v>0.8162153046427475</v>
      </c>
    </row>
    <row r="46" spans="2:5" ht="13.5" thickBot="1">
      <c r="B46" s="78"/>
      <c r="C46" s="85"/>
      <c r="D46" s="85"/>
      <c r="E46" s="102"/>
    </row>
    <row r="47" spans="2:5" ht="12.75">
      <c r="B47" s="6" t="s">
        <v>43</v>
      </c>
      <c r="C47" s="7"/>
      <c r="D47" s="7"/>
      <c r="E47" s="105"/>
    </row>
    <row r="48" spans="2:5" ht="12.75">
      <c r="B48" s="12" t="s">
        <v>57</v>
      </c>
      <c r="C48" s="13"/>
      <c r="D48" s="14"/>
      <c r="E48" s="104">
        <f>+E49+E50</f>
        <v>85267112</v>
      </c>
    </row>
    <row r="49" spans="2:5" ht="12.75">
      <c r="B49" s="12"/>
      <c r="C49" s="21" t="s">
        <v>9</v>
      </c>
      <c r="D49" s="22"/>
      <c r="E49" s="28">
        <f>+E64+E78+E92</f>
        <v>9701416</v>
      </c>
    </row>
    <row r="50" spans="2:5" ht="12.75">
      <c r="B50" s="12"/>
      <c r="C50" s="21" t="s">
        <v>10</v>
      </c>
      <c r="D50" s="22"/>
      <c r="E50" s="28">
        <f>+E65+E79+E93</f>
        <v>75565696</v>
      </c>
    </row>
    <row r="51" spans="2:5" ht="12.75">
      <c r="B51" s="12"/>
      <c r="C51" s="21" t="s">
        <v>11</v>
      </c>
      <c r="D51" s="22"/>
      <c r="E51" s="125">
        <f>+E50/E48</f>
        <v>0.886223236926331</v>
      </c>
    </row>
    <row r="52" spans="2:5" ht="12.75">
      <c r="B52" s="18" t="s">
        <v>12</v>
      </c>
      <c r="C52" s="19"/>
      <c r="D52" s="20"/>
      <c r="E52" s="32">
        <f>+E53+E54</f>
        <v>741</v>
      </c>
    </row>
    <row r="53" spans="2:5" ht="12.75">
      <c r="B53" s="18"/>
      <c r="C53" s="21" t="s">
        <v>9</v>
      </c>
      <c r="D53" s="22"/>
      <c r="E53" s="34">
        <f>+E68+E82+E96</f>
        <v>78</v>
      </c>
    </row>
    <row r="54" spans="2:5" ht="12.75">
      <c r="B54" s="18"/>
      <c r="C54" s="21" t="s">
        <v>10</v>
      </c>
      <c r="D54" s="22"/>
      <c r="E54" s="34">
        <f>+E69+E83+E97</f>
        <v>663</v>
      </c>
    </row>
    <row r="55" spans="2:5" ht="12.75">
      <c r="B55" s="18"/>
      <c r="C55" s="21" t="s">
        <v>11</v>
      </c>
      <c r="D55" s="22"/>
      <c r="E55" s="126">
        <f>+E54/E52</f>
        <v>0.8947368421052632</v>
      </c>
    </row>
    <row r="56" spans="2:5" ht="12.75">
      <c r="B56" s="18" t="s">
        <v>13</v>
      </c>
      <c r="C56" s="19"/>
      <c r="D56" s="20"/>
      <c r="E56" s="32">
        <f>+E57+E58</f>
        <v>226</v>
      </c>
    </row>
    <row r="57" spans="2:5" ht="12.75">
      <c r="B57" s="18"/>
      <c r="C57" s="21" t="s">
        <v>9</v>
      </c>
      <c r="D57" s="22"/>
      <c r="E57" s="34">
        <f>+E72+E86+E100</f>
        <v>21</v>
      </c>
    </row>
    <row r="58" spans="2:5" ht="12.75">
      <c r="B58" s="18"/>
      <c r="C58" s="21" t="s">
        <v>10</v>
      </c>
      <c r="D58" s="22"/>
      <c r="E58" s="34">
        <f>+E73+E87+E101</f>
        <v>205</v>
      </c>
    </row>
    <row r="59" spans="2:5" ht="12.75">
      <c r="B59" s="18"/>
      <c r="C59" s="21" t="s">
        <v>11</v>
      </c>
      <c r="D59" s="22"/>
      <c r="E59" s="126">
        <f>+E58/E56</f>
        <v>0.9070796460176991</v>
      </c>
    </row>
    <row r="60" spans="2:5" ht="13.5" thickBot="1">
      <c r="B60" s="36"/>
      <c r="C60" s="25"/>
      <c r="D60" s="37"/>
      <c r="E60" s="39"/>
    </row>
    <row r="61" spans="2:5" ht="13.5" thickBot="1">
      <c r="B61" s="78"/>
      <c r="C61" s="41"/>
      <c r="D61" s="41"/>
      <c r="E61" s="57"/>
    </row>
    <row r="62" spans="2:5" ht="12.75">
      <c r="B62" s="6" t="s">
        <v>25</v>
      </c>
      <c r="C62" s="7"/>
      <c r="D62" s="7"/>
      <c r="E62" s="127"/>
    </row>
    <row r="63" spans="2:5" ht="12.75">
      <c r="B63" s="84" t="s">
        <v>56</v>
      </c>
      <c r="C63" s="81"/>
      <c r="D63" s="82"/>
      <c r="E63" s="128">
        <f>+E64+E65</f>
        <v>28355989</v>
      </c>
    </row>
    <row r="64" spans="2:5" ht="12.75">
      <c r="B64" s="18"/>
      <c r="C64" s="21" t="s">
        <v>9</v>
      </c>
      <c r="D64" s="21"/>
      <c r="E64" s="129">
        <v>8320686</v>
      </c>
    </row>
    <row r="65" spans="2:5" ht="12.75">
      <c r="B65" s="18"/>
      <c r="C65" s="21" t="s">
        <v>10</v>
      </c>
      <c r="D65" s="21"/>
      <c r="E65" s="129">
        <v>20035303</v>
      </c>
    </row>
    <row r="66" spans="2:5" ht="12.75">
      <c r="B66" s="18"/>
      <c r="C66" s="77" t="s">
        <v>11</v>
      </c>
      <c r="D66" s="77"/>
      <c r="E66" s="54">
        <f>+E65/E63</f>
        <v>0.7065633647974684</v>
      </c>
    </row>
    <row r="67" spans="2:5" ht="12.75">
      <c r="B67" s="79" t="s">
        <v>26</v>
      </c>
      <c r="C67" s="81"/>
      <c r="D67" s="82"/>
      <c r="E67" s="16">
        <f>+E68+E69</f>
        <v>298</v>
      </c>
    </row>
    <row r="68" spans="2:5" ht="12.75">
      <c r="B68" s="18"/>
      <c r="C68" s="21" t="s">
        <v>9</v>
      </c>
      <c r="D68" s="21"/>
      <c r="E68" s="1">
        <v>74</v>
      </c>
    </row>
    <row r="69" spans="2:5" ht="12.75">
      <c r="B69" s="18"/>
      <c r="C69" s="21" t="s">
        <v>10</v>
      </c>
      <c r="D69" s="21"/>
      <c r="E69" s="1">
        <v>224</v>
      </c>
    </row>
    <row r="70" spans="2:5" ht="12.75">
      <c r="B70" s="18"/>
      <c r="C70" s="21" t="s">
        <v>11</v>
      </c>
      <c r="D70" s="21"/>
      <c r="E70" s="126">
        <f>+E69/E67</f>
        <v>0.7516778523489933</v>
      </c>
    </row>
    <row r="71" spans="2:5" ht="12.75">
      <c r="B71" s="79" t="s">
        <v>27</v>
      </c>
      <c r="C71" s="81"/>
      <c r="D71" s="82"/>
      <c r="E71" s="130">
        <f>+E72+E73</f>
        <v>95</v>
      </c>
    </row>
    <row r="72" spans="2:5" ht="12.75">
      <c r="B72" s="18"/>
      <c r="C72" s="21" t="s">
        <v>9</v>
      </c>
      <c r="D72" s="21"/>
      <c r="E72" s="63">
        <v>21</v>
      </c>
    </row>
    <row r="73" spans="2:5" ht="12.75">
      <c r="B73" s="18"/>
      <c r="C73" s="21" t="s">
        <v>10</v>
      </c>
      <c r="D73" s="21"/>
      <c r="E73" s="63">
        <v>74</v>
      </c>
    </row>
    <row r="74" spans="2:5" ht="13.5" thickBot="1">
      <c r="B74" s="36"/>
      <c r="C74" s="25" t="s">
        <v>11</v>
      </c>
      <c r="D74" s="25"/>
      <c r="E74" s="131">
        <f>+E73/E71</f>
        <v>0.7789473684210526</v>
      </c>
    </row>
    <row r="75" spans="2:5" ht="13.5" thickBot="1">
      <c r="B75" s="78"/>
      <c r="C75" s="41"/>
      <c r="D75" s="96"/>
      <c r="E75" s="132"/>
    </row>
    <row r="76" spans="2:5" ht="12.75">
      <c r="B76" s="6" t="s">
        <v>28</v>
      </c>
      <c r="C76" s="7"/>
      <c r="D76" s="8"/>
      <c r="E76" s="65"/>
    </row>
    <row r="77" spans="2:5" ht="12.75">
      <c r="B77" s="18" t="s">
        <v>55</v>
      </c>
      <c r="C77" s="19"/>
      <c r="D77" s="20"/>
      <c r="E77" s="32">
        <f>+E78+E79</f>
        <v>44058167</v>
      </c>
    </row>
    <row r="78" spans="2:5" ht="12.75">
      <c r="B78" s="18"/>
      <c r="C78" s="21" t="s">
        <v>9</v>
      </c>
      <c r="D78" s="22"/>
      <c r="E78" s="34">
        <v>931170</v>
      </c>
    </row>
    <row r="79" spans="2:5" ht="12.75">
      <c r="B79" s="18"/>
      <c r="C79" s="21" t="s">
        <v>10</v>
      </c>
      <c r="D79" s="22"/>
      <c r="E79" s="34">
        <v>43126997</v>
      </c>
    </row>
    <row r="80" spans="2:5" ht="12.75">
      <c r="B80" s="18"/>
      <c r="C80" s="21" t="s">
        <v>11</v>
      </c>
      <c r="D80" s="22"/>
      <c r="E80" s="124">
        <f>+E79/E77</f>
        <v>0.9788649854634216</v>
      </c>
    </row>
    <row r="81" spans="2:5" ht="12.75">
      <c r="B81" s="18" t="s">
        <v>29</v>
      </c>
      <c r="C81" s="19"/>
      <c r="D81" s="20"/>
      <c r="E81" s="130">
        <f>+E82+E83</f>
        <v>358</v>
      </c>
    </row>
    <row r="82" spans="2:5" ht="12.75">
      <c r="B82" s="18"/>
      <c r="C82" s="21" t="s">
        <v>9</v>
      </c>
      <c r="D82" s="22"/>
      <c r="E82" s="63">
        <v>3</v>
      </c>
    </row>
    <row r="83" spans="2:5" ht="12.75">
      <c r="B83" s="18"/>
      <c r="C83" s="21" t="s">
        <v>10</v>
      </c>
      <c r="D83" s="22"/>
      <c r="E83" s="63">
        <v>355</v>
      </c>
    </row>
    <row r="84" spans="2:5" ht="12.75">
      <c r="B84" s="18"/>
      <c r="C84" s="21" t="s">
        <v>11</v>
      </c>
      <c r="D84" s="22"/>
      <c r="E84" s="124">
        <f>+E83/E81</f>
        <v>0.9916201117318436</v>
      </c>
    </row>
    <row r="85" spans="2:5" ht="12.75">
      <c r="B85" s="12" t="s">
        <v>30</v>
      </c>
      <c r="C85" s="13"/>
      <c r="D85" s="14"/>
      <c r="E85" s="16">
        <f>+E86+E87</f>
        <v>107</v>
      </c>
    </row>
    <row r="86" spans="2:5" ht="12.75">
      <c r="B86" s="48"/>
      <c r="C86" s="21" t="s">
        <v>9</v>
      </c>
      <c r="D86" s="22"/>
      <c r="E86" s="1">
        <v>0</v>
      </c>
    </row>
    <row r="87" spans="2:5" ht="12.75">
      <c r="B87" s="48"/>
      <c r="C87" s="21" t="s">
        <v>10</v>
      </c>
      <c r="D87" s="22"/>
      <c r="E87" s="1">
        <v>107</v>
      </c>
    </row>
    <row r="88" spans="2:5" ht="13.5" thickBot="1">
      <c r="B88" s="66"/>
      <c r="C88" s="25" t="s">
        <v>11</v>
      </c>
      <c r="D88" s="37"/>
      <c r="E88" s="133">
        <f>+E87/E85</f>
        <v>1</v>
      </c>
    </row>
    <row r="89" spans="2:5" ht="13.5" thickBot="1">
      <c r="B89" s="78"/>
      <c r="C89" s="41"/>
      <c r="D89" s="96"/>
      <c r="E89" s="132"/>
    </row>
    <row r="90" spans="2:5" ht="12.75">
      <c r="B90" s="6" t="s">
        <v>31</v>
      </c>
      <c r="C90" s="7"/>
      <c r="D90" s="8"/>
      <c r="E90" s="65"/>
    </row>
    <row r="91" spans="2:5" ht="12.75">
      <c r="B91" s="18" t="s">
        <v>54</v>
      </c>
      <c r="C91" s="19"/>
      <c r="D91" s="20"/>
      <c r="E91" s="32">
        <f>+E92+E93</f>
        <v>12852956</v>
      </c>
    </row>
    <row r="92" spans="2:5" ht="12.75">
      <c r="B92" s="18"/>
      <c r="C92" s="21" t="s">
        <v>9</v>
      </c>
      <c r="D92" s="22"/>
      <c r="E92" s="34">
        <v>449560</v>
      </c>
    </row>
    <row r="93" spans="2:5" ht="12.75">
      <c r="B93" s="18"/>
      <c r="C93" s="21" t="s">
        <v>10</v>
      </c>
      <c r="D93" s="22"/>
      <c r="E93" s="34">
        <v>12403396</v>
      </c>
    </row>
    <row r="94" spans="2:5" ht="12.75">
      <c r="B94" s="18"/>
      <c r="C94" s="21" t="s">
        <v>11</v>
      </c>
      <c r="D94" s="22"/>
      <c r="E94" s="124">
        <f>+E93/E91</f>
        <v>0.9650228321018138</v>
      </c>
    </row>
    <row r="95" spans="2:5" ht="12.75">
      <c r="B95" s="12" t="s">
        <v>32</v>
      </c>
      <c r="C95" s="68"/>
      <c r="D95" s="14"/>
      <c r="E95" s="16">
        <f>+E96+E97</f>
        <v>85</v>
      </c>
    </row>
    <row r="96" spans="2:5" ht="12.75">
      <c r="B96" s="12"/>
      <c r="C96" s="21" t="s">
        <v>9</v>
      </c>
      <c r="D96" s="22"/>
      <c r="E96" s="1">
        <v>1</v>
      </c>
    </row>
    <row r="97" spans="2:5" ht="12.75">
      <c r="B97" s="12"/>
      <c r="C97" s="21" t="s">
        <v>10</v>
      </c>
      <c r="D97" s="22"/>
      <c r="E97" s="1">
        <v>84</v>
      </c>
    </row>
    <row r="98" spans="2:5" ht="12.75">
      <c r="B98" s="12"/>
      <c r="C98" s="21" t="s">
        <v>11</v>
      </c>
      <c r="D98" s="22"/>
      <c r="E98" s="124">
        <f>+E97/E95:E95</f>
        <v>0.9882352941176471</v>
      </c>
    </row>
    <row r="99" spans="2:5" ht="12.75">
      <c r="B99" s="12" t="s">
        <v>33</v>
      </c>
      <c r="C99" s="13"/>
      <c r="D99" s="20"/>
      <c r="E99" s="16">
        <f>+E100+E101</f>
        <v>24</v>
      </c>
    </row>
    <row r="100" spans="2:5" ht="12.75">
      <c r="B100" s="12"/>
      <c r="C100" s="21" t="s">
        <v>9</v>
      </c>
      <c r="D100" s="22"/>
      <c r="E100" s="1">
        <v>0</v>
      </c>
    </row>
    <row r="101" spans="2:5" ht="12.75">
      <c r="B101" s="12"/>
      <c r="C101" s="21" t="s">
        <v>10</v>
      </c>
      <c r="D101" s="22"/>
      <c r="E101" s="1">
        <v>24</v>
      </c>
    </row>
    <row r="102" spans="2:5" ht="13.5" thickBot="1">
      <c r="B102" s="36"/>
      <c r="C102" s="25" t="s">
        <v>11</v>
      </c>
      <c r="D102" s="37"/>
      <c r="E102" s="131">
        <f>+E101/E99</f>
        <v>1</v>
      </c>
    </row>
    <row r="103" spans="2:5" ht="12.75">
      <c r="B103" s="75" t="s">
        <v>53</v>
      </c>
      <c r="C103" s="3"/>
      <c r="D103" s="3"/>
      <c r="E10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 MMS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 Atkins</dc:creator>
  <cp:keywords/>
  <dc:description/>
  <cp:lastModifiedBy>pickerib</cp:lastModifiedBy>
  <cp:lastPrinted>2001-10-16T15:36:08Z</cp:lastPrinted>
  <dcterms:created xsi:type="dcterms:W3CDTF">1999-07-29T18:33:04Z</dcterms:created>
  <dcterms:modified xsi:type="dcterms:W3CDTF">2002-10-31T18:32:18Z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1800119676</vt:i4>
  </property>
  <property fmtid="{D5CDD505-2E9C-101B-9397-08002B2CF9AE}" pid="3" name="_EmailSubject">
    <vt:lpwstr>Broken Link on Performance Measures</vt:lpwstr>
  </property>
  <property fmtid="{D5CDD505-2E9C-101B-9397-08002B2CF9AE}" pid="4" name="_AuthorEmail">
    <vt:lpwstr>Staci.Atkins@mms.gov</vt:lpwstr>
  </property>
  <property fmtid="{D5CDD505-2E9C-101B-9397-08002B2CF9AE}" pid="5" name="_AuthorEmailDisplayName">
    <vt:lpwstr>Atkins, Staci</vt:lpwstr>
  </property>
  <property fmtid="{D5CDD505-2E9C-101B-9397-08002B2CF9AE}" pid="6" name="_ReviewingToolsShownOnce">
    <vt:lpwstr/>
  </property>
</Properties>
</file>