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266" windowWidth="18510" windowHeight="8670" activeTab="0"/>
  </bookViews>
  <sheets>
    <sheet name="Sheet1" sheetId="1" r:id="rId1"/>
    <sheet name="2-27" sheetId="2" r:id="rId2"/>
  </sheets>
  <definedNames>
    <definedName name="HTML_CodePage" hidden="1">1252</definedName>
    <definedName name="HTML_Control" hidden="1">{"'2-27'!$A$1:$K$43"}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tasks\nts2000\nts2000\HTML\Ch2_web\2-27.htm"</definedName>
    <definedName name="HTML_Title" hidden="1">"Table 2-27"</definedName>
    <definedName name="_xlnm.Print_Area" localSheetId="1">'2-27'!$A$1:$Q$37</definedName>
  </definedNames>
  <calcPr fullCalcOnLoad="1"/>
</workbook>
</file>

<file path=xl/sharedStrings.xml><?xml version="1.0" encoding="utf-8"?>
<sst xmlns="http://schemas.openxmlformats.org/spreadsheetml/2006/main" count="104" uniqueCount="52">
  <si>
    <t>Day of week</t>
  </si>
  <si>
    <t>Time of day</t>
  </si>
  <si>
    <t>Atmospheric condition</t>
  </si>
  <si>
    <t>Light condition</t>
  </si>
  <si>
    <t>Sunday</t>
  </si>
  <si>
    <t>Monday</t>
  </si>
  <si>
    <t>Tuesday</t>
  </si>
  <si>
    <t>Wednesday</t>
  </si>
  <si>
    <t>Thursday</t>
  </si>
  <si>
    <t>Friday</t>
  </si>
  <si>
    <t>Saturday</t>
  </si>
  <si>
    <t>Unknown</t>
  </si>
  <si>
    <t>Midnight to 3 a.m.</t>
  </si>
  <si>
    <t>3 a.m. to 6 a.m.</t>
  </si>
  <si>
    <t>6 a.m. to 9 a.m.</t>
  </si>
  <si>
    <t>9 a.m. to noon</t>
  </si>
  <si>
    <t>Noon to 3 p.m.</t>
  </si>
  <si>
    <t>3 p.m. to 6 p.m.</t>
  </si>
  <si>
    <t>6 p.m. to 9 p.m.</t>
  </si>
  <si>
    <t>9 p.m. to midnight</t>
  </si>
  <si>
    <t>Normal</t>
  </si>
  <si>
    <t>Rain</t>
  </si>
  <si>
    <t>Snow/sleet</t>
  </si>
  <si>
    <t>Other/unknown</t>
  </si>
  <si>
    <t>Daylight</t>
  </si>
  <si>
    <t>Dark, but lighted</t>
  </si>
  <si>
    <t>Dark</t>
  </si>
  <si>
    <t>Dawn or dusk</t>
  </si>
  <si>
    <t>TOTAL fatal crashes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</si>
  <si>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</si>
  <si>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</si>
  <si>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</si>
  <si>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</si>
  <si>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</si>
  <si>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</si>
  <si>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</si>
  <si>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</si>
  <si>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</si>
  <si>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</si>
  <si>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</si>
  <si>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</si>
  <si>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SOURCE</t>
  </si>
  <si>
    <t>Table 2-27:  Motor Vehicle Fatal Crashes by Day of Week, Time of Day, and Weather and Light Conditions (percent)</t>
  </si>
  <si>
    <t>2002</t>
  </si>
  <si>
    <t>2003</t>
  </si>
  <si>
    <t>2004</t>
  </si>
  <si>
    <r>
      <t>KEY:</t>
    </r>
    <r>
      <rPr>
        <sz val="9"/>
        <rFont val="Arial"/>
        <family val="2"/>
      </rPr>
      <t xml:space="preserve"> R = revised.</t>
    </r>
  </si>
  <si>
    <t>2005</t>
  </si>
  <si>
    <t>U.S. Department of Transportation, National Highway Traffic Safety Administration, National Center for Statistics and Analysis, Fatality Analysis Reporting System (FARS) Web-based encyclopedia, Internet site http://www-fars.nhtsa.dot.gov/ as of Nov. 2, 2006.</t>
  </si>
  <si>
    <t>&lt;.01</t>
  </si>
  <si>
    <t>2006</t>
  </si>
  <si>
    <t>U.S. Department of Transportation, National Highway Traffic Safety Administration, National Center for Statistics and Analysis, Fatality Analysis Reporting System (FARS) Web-based encyclopedia, Internet site http://www-fars.nhtsa.dot.gov/ as of Nov. 26, 2007.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</si>
</sst>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;&quot;(R) -&quot;#,##0.0;&quot;(R) &quot;\ 0.0"/>
    <numFmt numFmtId="168" formatCode="&quot;(R)&quot;\ #,##0.00;&quot;(R) -&quot;#,##0.00;&quot;(R) &quot;\ 0.00"/>
    <numFmt numFmtId="169" formatCode="#,##0.0"/>
    <numFmt numFmtId="170" formatCode="0.0%"/>
    <numFmt numFmtId="171" formatCode="0.000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3" fillId="0" borderId="0" xfId="19" applyNumberFormat="1" applyFont="1" applyFill="1" applyBorder="1" applyAlignment="1">
      <alignment horizontal="left"/>
      <protection/>
    </xf>
    <xf numFmtId="3" fontId="13" fillId="0" borderId="0" xfId="19" applyNumberFormat="1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left"/>
      <protection/>
    </xf>
    <xf numFmtId="164" fontId="14" fillId="0" borderId="0" xfId="19" applyNumberFormat="1" applyFont="1" applyFill="1" applyBorder="1" applyAlignment="1">
      <alignment horizontal="right"/>
      <protection/>
    </xf>
    <xf numFmtId="0" fontId="14" fillId="0" borderId="0" xfId="0" applyNumberFormat="1" applyFont="1" applyFill="1" applyAlignment="1">
      <alignment horizontal="right"/>
    </xf>
    <xf numFmtId="2" fontId="14" fillId="0" borderId="0" xfId="19" applyNumberFormat="1" applyFont="1" applyFill="1" applyBorder="1" applyAlignment="1">
      <alignment horizontal="right"/>
      <protection/>
    </xf>
    <xf numFmtId="3" fontId="14" fillId="0" borderId="4" xfId="19" applyNumberFormat="1" applyFont="1" applyFill="1" applyBorder="1" applyAlignment="1">
      <alignment horizontal="left"/>
      <protection/>
    </xf>
    <xf numFmtId="164" fontId="14" fillId="0" borderId="4" xfId="19" applyNumberFormat="1" applyFont="1" applyFill="1" applyBorder="1" applyAlignment="1">
      <alignment horizontal="right"/>
      <protection/>
    </xf>
    <xf numFmtId="0" fontId="14" fillId="0" borderId="4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49" fontId="13" fillId="0" borderId="5" xfId="19" applyNumberFormat="1" applyFont="1" applyFill="1" applyBorder="1" applyAlignment="1">
      <alignment horizontal="center"/>
      <protection/>
    </xf>
    <xf numFmtId="49" fontId="13" fillId="0" borderId="5" xfId="0" applyNumberFormat="1" applyFont="1" applyFill="1" applyBorder="1" applyAlignment="1">
      <alignment horizontal="center"/>
    </xf>
    <xf numFmtId="0" fontId="13" fillId="0" borderId="5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9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167" fontId="14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4" fontId="14" fillId="0" borderId="6" xfId="19" applyNumberFormat="1" applyFont="1" applyFill="1" applyBorder="1" applyAlignment="1">
      <alignment horizontal="right"/>
      <protection/>
    </xf>
    <xf numFmtId="0" fontId="14" fillId="0" borderId="6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4" fillId="0" borderId="0" xfId="19" applyNumberFormat="1" applyFont="1" applyFill="1" applyBorder="1" applyAlignment="1">
      <alignment horizontal="right" vertical="top"/>
      <protection/>
    </xf>
    <xf numFmtId="4" fontId="14" fillId="0" borderId="0" xfId="0" applyNumberFormat="1" applyFont="1" applyFill="1" applyAlignment="1">
      <alignment horizontal="right"/>
    </xf>
    <xf numFmtId="169" fontId="14" fillId="0" borderId="4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167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3" fontId="15" fillId="0" borderId="6" xfId="19" applyNumberFormat="1" applyFont="1" applyFill="1" applyBorder="1" applyAlignment="1">
      <alignment horizontal="left" vertical="top"/>
      <protection/>
    </xf>
    <xf numFmtId="3" fontId="16" fillId="0" borderId="6" xfId="19" applyNumberFormat="1" applyFont="1" applyFill="1" applyBorder="1" applyAlignment="1">
      <alignment horizontal="left" vertical="top"/>
      <protection/>
    </xf>
    <xf numFmtId="0" fontId="1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2" fillId="0" borderId="4" xfId="40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18.8515625" style="39" customWidth="1"/>
    <col min="2" max="6" width="9.8515625" style="39" bestFit="1" customWidth="1"/>
    <col min="7" max="7" width="9.421875" style="39" bestFit="1" customWidth="1"/>
    <col min="8" max="9" width="9.8515625" style="39" bestFit="1" customWidth="1"/>
    <col min="10" max="11" width="9.421875" style="39" bestFit="1" customWidth="1"/>
    <col min="12" max="13" width="9.8515625" style="39" bestFit="1" customWidth="1"/>
    <col min="14" max="14" width="9.421875" style="39" bestFit="1" customWidth="1"/>
    <col min="15" max="16" width="9.8515625" style="39" bestFit="1" customWidth="1"/>
    <col min="17" max="17" width="9.8515625" style="39" customWidth="1"/>
    <col min="18" max="18" width="9.8515625" style="39" bestFit="1" customWidth="1"/>
    <col min="19" max="19" width="16.7109375" style="39" bestFit="1" customWidth="1"/>
    <col min="20" max="16384" width="8.8515625" style="39" customWidth="1"/>
  </cols>
  <sheetData>
    <row r="1" spans="1:18" ht="15.75" customHeight="1" thickBot="1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6.5">
      <c r="A2" s="21"/>
      <c r="B2" s="19" t="s">
        <v>29</v>
      </c>
      <c r="C2" s="19" t="s">
        <v>30</v>
      </c>
      <c r="D2" s="19" t="s">
        <v>31</v>
      </c>
      <c r="E2" s="19" t="s">
        <v>32</v>
      </c>
      <c r="F2" s="19" t="s">
        <v>33</v>
      </c>
      <c r="G2" s="19" t="s">
        <v>34</v>
      </c>
      <c r="H2" s="19" t="s">
        <v>35</v>
      </c>
      <c r="I2" s="19" t="s">
        <v>36</v>
      </c>
      <c r="J2" s="20" t="s">
        <v>37</v>
      </c>
      <c r="K2" s="20" t="s">
        <v>38</v>
      </c>
      <c r="L2" s="20" t="s">
        <v>39</v>
      </c>
      <c r="M2" s="20" t="s">
        <v>40</v>
      </c>
      <c r="N2" s="20" t="s">
        <v>43</v>
      </c>
      <c r="O2" s="20" t="s">
        <v>44</v>
      </c>
      <c r="P2" s="20" t="s">
        <v>45</v>
      </c>
      <c r="Q2" s="20" t="s">
        <v>47</v>
      </c>
      <c r="R2" s="20" t="s">
        <v>50</v>
      </c>
    </row>
    <row r="3" spans="1:18" ht="16.5">
      <c r="A3" s="2" t="s">
        <v>28</v>
      </c>
      <c r="B3" s="3">
        <v>39836</v>
      </c>
      <c r="C3" s="3">
        <v>36937</v>
      </c>
      <c r="D3" s="3">
        <v>34942</v>
      </c>
      <c r="E3" s="3">
        <v>35780</v>
      </c>
      <c r="F3" s="3">
        <v>36254</v>
      </c>
      <c r="G3" s="3">
        <v>37241</v>
      </c>
      <c r="H3" s="3">
        <v>37494</v>
      </c>
      <c r="I3" s="3">
        <v>37324</v>
      </c>
      <c r="J3" s="13">
        <v>37107</v>
      </c>
      <c r="K3" s="13">
        <v>37140</v>
      </c>
      <c r="L3" s="13">
        <v>37526</v>
      </c>
      <c r="M3" s="13">
        <v>37862</v>
      </c>
      <c r="N3" s="13">
        <v>38491</v>
      </c>
      <c r="O3" s="13">
        <v>38477</v>
      </c>
      <c r="P3" s="13">
        <v>38444</v>
      </c>
      <c r="Q3" s="34">
        <v>39252</v>
      </c>
      <c r="R3" s="13">
        <v>38588</v>
      </c>
    </row>
    <row r="4" spans="1:5" ht="16.5">
      <c r="A4" s="2" t="s">
        <v>0</v>
      </c>
      <c r="B4" s="4"/>
      <c r="C4" s="4"/>
      <c r="D4" s="4"/>
      <c r="E4" s="4"/>
    </row>
    <row r="5" spans="1:18" ht="16.5">
      <c r="A5" s="5" t="s">
        <v>4</v>
      </c>
      <c r="B5" s="6">
        <v>16.095993573651974</v>
      </c>
      <c r="C5" s="6">
        <v>16.2465820180307</v>
      </c>
      <c r="D5" s="6">
        <v>15.92639230725202</v>
      </c>
      <c r="E5" s="6">
        <v>15.771380659586361</v>
      </c>
      <c r="F5" s="6">
        <f>(5754/36254)*100</f>
        <v>15.871352126661886</v>
      </c>
      <c r="G5" s="6">
        <v>15.7</v>
      </c>
      <c r="H5" s="6">
        <v>15.2</v>
      </c>
      <c r="I5" s="6">
        <v>15.8</v>
      </c>
      <c r="J5" s="14">
        <v>15.5</v>
      </c>
      <c r="K5" s="6">
        <f>(5848/$K$3)*100</f>
        <v>15.745826602046312</v>
      </c>
      <c r="L5" s="15">
        <f>(6027/$L$3)*100</f>
        <v>16.06086446730267</v>
      </c>
      <c r="M5" s="15">
        <f>(6041/$M$3)*100</f>
        <v>15.955311394009824</v>
      </c>
      <c r="N5" s="15">
        <f>(6134/$N$3)*100</f>
        <v>15.936192876256788</v>
      </c>
      <c r="O5" s="23">
        <f>(6165/$O$3)*100</f>
        <v>16.022558931309614</v>
      </c>
      <c r="P5" s="15">
        <v>16.21</v>
      </c>
      <c r="Q5" s="15">
        <v>15.9</v>
      </c>
      <c r="R5" s="40">
        <f>0.167850108842127*100</f>
        <v>16.7850108842127</v>
      </c>
    </row>
    <row r="6" spans="1:18" ht="16.5">
      <c r="A6" s="5" t="s">
        <v>5</v>
      </c>
      <c r="B6" s="6">
        <v>11.697961642735216</v>
      </c>
      <c r="C6" s="6">
        <v>11.546687603216286</v>
      </c>
      <c r="D6" s="6">
        <v>11.6163928796291</v>
      </c>
      <c r="E6" s="6">
        <v>12.12688652878703</v>
      </c>
      <c r="F6" s="6">
        <f>(4506/36254)*100</f>
        <v>12.428973354664313</v>
      </c>
      <c r="G6" s="6">
        <v>12.428973354664313</v>
      </c>
      <c r="H6" s="6">
        <v>12.7</v>
      </c>
      <c r="I6" s="6">
        <v>12.1</v>
      </c>
      <c r="J6" s="14">
        <v>12.4</v>
      </c>
      <c r="K6" s="6">
        <f>(4681/$K$3)*100</f>
        <v>12.603661820140012</v>
      </c>
      <c r="L6" s="15">
        <f>(4631/$L$3)*100</f>
        <v>12.340777061237542</v>
      </c>
      <c r="M6" s="15">
        <f>(4780/$M$3)*100</f>
        <v>12.624795309281073</v>
      </c>
      <c r="N6" s="15">
        <f>(4697/$N$3)*100</f>
        <v>12.202852614896988</v>
      </c>
      <c r="O6" s="23">
        <f>(4722/$O$3)*100</f>
        <v>12.272266548847362</v>
      </c>
      <c r="P6" s="15">
        <f>(4748/$P$3)*100</f>
        <v>12.350431796899386</v>
      </c>
      <c r="Q6" s="15">
        <v>12.6</v>
      </c>
      <c r="R6" s="40">
        <f>0.122240074634601*100</f>
        <v>12.2240074634601</v>
      </c>
    </row>
    <row r="7" spans="1:18" ht="16.5">
      <c r="A7" s="5" t="s">
        <v>6</v>
      </c>
      <c r="B7" s="6">
        <v>11.464504468320111</v>
      </c>
      <c r="C7" s="6">
        <v>11.457346292335599</v>
      </c>
      <c r="D7" s="6">
        <v>11.479022379943906</v>
      </c>
      <c r="E7" s="6">
        <v>11.774734488541085</v>
      </c>
      <c r="F7" s="6">
        <f>(4239/36254)*100</f>
        <v>11.69250289623214</v>
      </c>
      <c r="G7" s="6">
        <v>11.8</v>
      </c>
      <c r="H7" s="6">
        <v>12.4</v>
      </c>
      <c r="I7" s="6">
        <v>11.9</v>
      </c>
      <c r="J7" s="14">
        <v>12.4</v>
      </c>
      <c r="K7" s="6">
        <f>(4407/$K$3)*100</f>
        <v>11.865912762520194</v>
      </c>
      <c r="L7" s="15">
        <f>(4499/$L$3)*100</f>
        <v>11.989020945477801</v>
      </c>
      <c r="M7" s="15">
        <f>(4584/$M$3)*100</f>
        <v>12.107125878189214</v>
      </c>
      <c r="N7" s="15">
        <f>(4754/$N$3)*100</f>
        <v>12.35093918058767</v>
      </c>
      <c r="O7" s="23">
        <f>(4678/$O$3)*100</f>
        <v>12.157912519167295</v>
      </c>
      <c r="P7" s="15">
        <f>(4449/$P$3)*100</f>
        <v>11.572677140776195</v>
      </c>
      <c r="Q7" s="15">
        <v>11.8</v>
      </c>
      <c r="R7" s="40">
        <f>0.121825437959988*100</f>
        <v>12.1825437959988</v>
      </c>
    </row>
    <row r="8" spans="1:18" ht="16.5">
      <c r="A8" s="5" t="s">
        <v>7</v>
      </c>
      <c r="B8" s="6">
        <v>11.484586805904208</v>
      </c>
      <c r="C8" s="6">
        <v>11.860735847524163</v>
      </c>
      <c r="D8" s="6">
        <v>12.317554805105603</v>
      </c>
      <c r="E8" s="6">
        <v>11.953605366126327</v>
      </c>
      <c r="F8" s="6">
        <f>(4472/36254)*100</f>
        <v>12.335190599657968</v>
      </c>
      <c r="G8" s="6">
        <v>11.9</v>
      </c>
      <c r="H8" s="6">
        <v>12.2</v>
      </c>
      <c r="I8" s="6">
        <v>13</v>
      </c>
      <c r="J8" s="14">
        <v>12.4</v>
      </c>
      <c r="K8" s="6">
        <f>(4630/$K$3)*100</f>
        <v>12.466343564889607</v>
      </c>
      <c r="L8" s="15">
        <f>(4566/$L$3)*100</f>
        <v>12.167563822416458</v>
      </c>
      <c r="M8" s="15">
        <f>(4602/$M$3)*100</f>
        <v>12.154666948391526</v>
      </c>
      <c r="N8" s="15">
        <f>(4855/$N$3)*100</f>
        <v>12.613338182951859</v>
      </c>
      <c r="O8" s="23">
        <f>(4859/$O$3)*100</f>
        <v>12.628323413987577</v>
      </c>
      <c r="P8" s="15">
        <v>12.36</v>
      </c>
      <c r="Q8" s="15">
        <v>12.4</v>
      </c>
      <c r="R8" s="40">
        <f>0.121955011920804*100</f>
        <v>12.1955011920804</v>
      </c>
    </row>
    <row r="9" spans="1:19" ht="16.5">
      <c r="A9" s="5" t="s">
        <v>8</v>
      </c>
      <c r="B9" s="6">
        <v>12.6</v>
      </c>
      <c r="C9" s="6">
        <v>12.524027398002001</v>
      </c>
      <c r="D9" s="6">
        <v>13.3</v>
      </c>
      <c r="E9" s="6">
        <v>12.984907769703746</v>
      </c>
      <c r="F9" s="6">
        <f>(4598/36254)*100</f>
        <v>12.682738456446184</v>
      </c>
      <c r="G9" s="6">
        <v>13</v>
      </c>
      <c r="H9" s="6">
        <v>13.3</v>
      </c>
      <c r="I9" s="6">
        <v>13</v>
      </c>
      <c r="J9" s="7">
        <v>13.5</v>
      </c>
      <c r="K9" s="6">
        <f>(4782/$K$3)*100</f>
        <v>12.875605815831987</v>
      </c>
      <c r="L9" s="15">
        <f>(4877/$L$3)*100</f>
        <v>12.996322549698874</v>
      </c>
      <c r="M9" s="15">
        <f>(4812/$M$3)*100</f>
        <v>12.70931276741852</v>
      </c>
      <c r="N9" s="15">
        <f>(4934/$N$3)*100</f>
        <v>12.818580966979292</v>
      </c>
      <c r="O9" s="23">
        <f>(4935/$O$3)*100</f>
        <v>12.825844010707696</v>
      </c>
      <c r="P9" s="38">
        <v>13.26</v>
      </c>
      <c r="Q9" s="15">
        <v>12.9</v>
      </c>
      <c r="R9" s="40">
        <f>0.128330050792993*100</f>
        <v>12.833005079299301</v>
      </c>
      <c r="S9" s="41"/>
    </row>
    <row r="10" spans="1:18" ht="16.5">
      <c r="A10" s="5" t="s">
        <v>9</v>
      </c>
      <c r="B10" s="6">
        <v>16.7</v>
      </c>
      <c r="C10" s="6">
        <v>16.4631670141051</v>
      </c>
      <c r="D10" s="6">
        <v>16.06376280693721</v>
      </c>
      <c r="E10" s="6">
        <v>16.277249860257125</v>
      </c>
      <c r="F10" s="6">
        <f>(5922/36254)*100</f>
        <v>16.334749269046174</v>
      </c>
      <c r="G10" s="6">
        <v>16.6</v>
      </c>
      <c r="H10" s="6">
        <v>16.1</v>
      </c>
      <c r="I10" s="6">
        <v>16.1</v>
      </c>
      <c r="J10" s="14">
        <v>15.8</v>
      </c>
      <c r="K10" s="6">
        <f>(5922/$K$3)*100</f>
        <v>15.945072697899839</v>
      </c>
      <c r="L10" s="15">
        <f>(5993/$L$3)*100</f>
        <v>15.97026061930395</v>
      </c>
      <c r="M10" s="15">
        <f>(6121/$M$3)*100</f>
        <v>16.166605039353442</v>
      </c>
      <c r="N10" s="15">
        <f>(6090/$N$3)*100</f>
        <v>15.82188043958328</v>
      </c>
      <c r="O10" s="23">
        <f>(6024/$O$3)*100</f>
        <v>15.656106245289395</v>
      </c>
      <c r="P10" s="15">
        <v>16.02</v>
      </c>
      <c r="Q10" s="15">
        <v>15.7</v>
      </c>
      <c r="R10" s="40">
        <f>0.155125945889914*100</f>
        <v>15.5125945889914</v>
      </c>
    </row>
    <row r="11" spans="1:18" ht="16.5">
      <c r="A11" s="5" t="s">
        <v>10</v>
      </c>
      <c r="B11" s="6">
        <v>20</v>
      </c>
      <c r="C11" s="6">
        <v>19.87167338982592</v>
      </c>
      <c r="D11" s="6">
        <v>19.30341709117967</v>
      </c>
      <c r="E11" s="6">
        <v>18.996646171045274</v>
      </c>
      <c r="F11" s="6">
        <v>18.6</v>
      </c>
      <c r="G11" s="6">
        <v>18.535885695371547</v>
      </c>
      <c r="H11" s="6">
        <v>18.2</v>
      </c>
      <c r="I11" s="6">
        <v>18</v>
      </c>
      <c r="J11" s="15">
        <v>18</v>
      </c>
      <c r="K11" s="6">
        <f>(6866/$K$3)*100</f>
        <v>18.486806677436725</v>
      </c>
      <c r="L11" s="15">
        <f>(6928/$L$3)*100</f>
        <v>18.461866439268775</v>
      </c>
      <c r="M11" s="15">
        <f>(6905/$M$3)*100</f>
        <v>18.23728276372088</v>
      </c>
      <c r="N11" s="23">
        <f>(7019/$N$3)*100</f>
        <v>18.23543165934894</v>
      </c>
      <c r="O11" s="23">
        <f>(7075/$O$3)*100</f>
        <v>18.387608181511034</v>
      </c>
      <c r="P11" s="15">
        <f>(6902/$P$3)*100</f>
        <v>17.953386744355427</v>
      </c>
      <c r="Q11" s="15">
        <v>18.6</v>
      </c>
      <c r="R11" s="40">
        <f>0.182673369959573*100</f>
        <v>18.2673369959573</v>
      </c>
    </row>
    <row r="12" spans="1:18" ht="16.5">
      <c r="A12" s="5" t="s">
        <v>11</v>
      </c>
      <c r="B12" s="8">
        <v>0.02008233758409479</v>
      </c>
      <c r="C12" s="8">
        <v>0.02978043696022958</v>
      </c>
      <c r="D12" s="8">
        <v>0.011447541640432718</v>
      </c>
      <c r="E12" s="8">
        <v>0.022358859698155393</v>
      </c>
      <c r="F12" s="8">
        <v>0.04</v>
      </c>
      <c r="G12" s="8">
        <v>0.03309979588459205</v>
      </c>
      <c r="H12" s="8">
        <v>0.04</v>
      </c>
      <c r="I12" s="8">
        <v>0.05</v>
      </c>
      <c r="J12" s="14">
        <v>0.04</v>
      </c>
      <c r="K12" s="8">
        <f>(4/$K$3)*100</f>
        <v>0.010770059235325794</v>
      </c>
      <c r="L12" s="17">
        <f>(5/$L$3)*100</f>
        <v>0.013324095293929542</v>
      </c>
      <c r="M12" s="17">
        <f>(17/$M$3)*100</f>
        <v>0.04489989963551846</v>
      </c>
      <c r="N12" s="32">
        <f>(8/$N$3)*100</f>
        <v>0.02078407939518329</v>
      </c>
      <c r="O12" s="32">
        <f>(19/$O$3)*100</f>
        <v>0.049380149180029635</v>
      </c>
      <c r="P12" s="17">
        <v>0.05</v>
      </c>
      <c r="Q12" s="17">
        <v>0</v>
      </c>
      <c r="R12" s="17">
        <v>0</v>
      </c>
    </row>
    <row r="13" spans="1:18" ht="16.5">
      <c r="A13" s="2" t="s">
        <v>1</v>
      </c>
      <c r="B13" s="4"/>
      <c r="C13" s="6"/>
      <c r="D13" s="6"/>
      <c r="E13" s="6"/>
      <c r="F13" s="6"/>
      <c r="G13" s="6"/>
      <c r="H13" s="6"/>
      <c r="I13" s="6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>
      <c r="A14" s="5" t="s">
        <v>12</v>
      </c>
      <c r="B14" s="6">
        <v>15.699367406366102</v>
      </c>
      <c r="C14" s="6">
        <v>15.293608035303356</v>
      </c>
      <c r="D14" s="6">
        <v>14.266498769389274</v>
      </c>
      <c r="E14" s="6">
        <v>13.8</v>
      </c>
      <c r="F14" s="6">
        <f>(4751/36254)*100</f>
        <v>13.104760853974733</v>
      </c>
      <c r="G14" s="6">
        <v>12.8</v>
      </c>
      <c r="H14" s="6">
        <v>12.6</v>
      </c>
      <c r="I14" s="6">
        <v>12.2</v>
      </c>
      <c r="J14" s="14">
        <v>12.3</v>
      </c>
      <c r="K14" s="15">
        <f>(4538/$K$3)*100</f>
        <v>12.218632202477114</v>
      </c>
      <c r="L14" s="15">
        <f>(4677/$L$3)*100</f>
        <v>12.463358737941693</v>
      </c>
      <c r="M14" s="15">
        <f>(4732/$M$3)*100</f>
        <v>12.498019122074904</v>
      </c>
      <c r="N14" s="15">
        <f>(5051/$N$3)*100</f>
        <v>13.122548128133849</v>
      </c>
      <c r="O14" s="23">
        <f>(4791/$O$3)*100</f>
        <v>12.45159445902747</v>
      </c>
      <c r="P14" s="15">
        <f>(4748/$P$3)*100</f>
        <v>12.350431796899386</v>
      </c>
      <c r="Q14" s="15">
        <v>12.75</v>
      </c>
      <c r="R14" s="15">
        <v>13.02477454130818</v>
      </c>
    </row>
    <row r="15" spans="1:18" ht="16.5">
      <c r="A15" s="5" t="s">
        <v>13</v>
      </c>
      <c r="B15" s="6">
        <v>7.7216588010844465</v>
      </c>
      <c r="C15" s="6">
        <v>7.916181606519208</v>
      </c>
      <c r="D15" s="6">
        <v>7.383664358079102</v>
      </c>
      <c r="E15" s="6">
        <v>7.4</v>
      </c>
      <c r="F15" s="6">
        <f>(2642/36254)*100</f>
        <v>7.287471727257682</v>
      </c>
      <c r="G15" s="6">
        <v>7.5</v>
      </c>
      <c r="H15" s="6">
        <v>7.4</v>
      </c>
      <c r="I15" s="6">
        <v>7.2</v>
      </c>
      <c r="J15" s="14">
        <v>7.3</v>
      </c>
      <c r="K15" s="15">
        <f>(2826/$K$3)*100</f>
        <v>7.609046849757674</v>
      </c>
      <c r="L15" s="15">
        <f>(3018/$L$3)*100</f>
        <v>8.04242391941587</v>
      </c>
      <c r="M15" s="15">
        <f>(2886/$M$3)*100</f>
        <v>7.622418255770958</v>
      </c>
      <c r="N15" s="15">
        <f>(3108/$N$3)*100</f>
        <v>8.074614845028707</v>
      </c>
      <c r="O15" s="23">
        <f>(2996/$O$3)*100</f>
        <v>7.786469839124672</v>
      </c>
      <c r="P15" s="15">
        <f>(3037/$P$3)*100</f>
        <v>7.8998023098532935</v>
      </c>
      <c r="Q15" s="15">
        <v>8.06</v>
      </c>
      <c r="R15" s="15">
        <v>8.331605680522443</v>
      </c>
    </row>
    <row r="16" spans="1:18" ht="16.5">
      <c r="A16" s="5" t="s">
        <v>14</v>
      </c>
      <c r="B16" s="6">
        <v>8.557586103022393</v>
      </c>
      <c r="C16" s="6">
        <v>8.55781465738961</v>
      </c>
      <c r="D16" s="6">
        <v>8.471180813920212</v>
      </c>
      <c r="E16" s="6">
        <v>8.856903297931805</v>
      </c>
      <c r="F16" s="6">
        <f>(3387/36254)*100</f>
        <v>9.342417388426105</v>
      </c>
      <c r="G16" s="6">
        <v>9.2</v>
      </c>
      <c r="H16" s="6">
        <v>9.5</v>
      </c>
      <c r="I16" s="6">
        <v>9.9</v>
      </c>
      <c r="J16" s="14">
        <v>9.7</v>
      </c>
      <c r="K16" s="15">
        <f>(3751/$K$3)*100</f>
        <v>10.099623047926762</v>
      </c>
      <c r="L16" s="15">
        <f>(3711/$L$3)*100</f>
        <v>9.889143527154506</v>
      </c>
      <c r="M16" s="15">
        <f>(3713/$M$3)*100</f>
        <v>9.806666314510592</v>
      </c>
      <c r="N16" s="15">
        <f>(3715/$N$3)*100</f>
        <v>9.651606869138242</v>
      </c>
      <c r="O16" s="23">
        <f>(3748/$O$3)*100</f>
        <v>9.740884164565845</v>
      </c>
      <c r="P16" s="15">
        <v>9.67</v>
      </c>
      <c r="Q16" s="15">
        <v>9.91</v>
      </c>
      <c r="R16" s="15">
        <v>10.010884212708614</v>
      </c>
    </row>
    <row r="17" spans="1:18" ht="16.5">
      <c r="A17" s="5" t="s">
        <v>15</v>
      </c>
      <c r="B17" s="6">
        <v>8.5</v>
      </c>
      <c r="C17" s="6">
        <v>8.617375531310069</v>
      </c>
      <c r="D17" s="6">
        <v>8.808883292312975</v>
      </c>
      <c r="E17" s="6">
        <v>9.720514253773057</v>
      </c>
      <c r="F17" s="6">
        <f>(3477/36254)*100</f>
        <v>9.590665857560545</v>
      </c>
      <c r="G17" s="6">
        <v>9.4</v>
      </c>
      <c r="H17" s="6">
        <v>9.7</v>
      </c>
      <c r="I17" s="14">
        <v>9.9</v>
      </c>
      <c r="J17" s="14">
        <v>10.2</v>
      </c>
      <c r="K17" s="15">
        <f>(3733/$K$3)*100</f>
        <v>10.051157781367797</v>
      </c>
      <c r="L17" s="15">
        <f>(3714/$L$3)*100</f>
        <v>9.897137984330865</v>
      </c>
      <c r="M17" s="15">
        <f>(3803/$M$3)*100</f>
        <v>10.044371665522158</v>
      </c>
      <c r="N17" s="15">
        <f>(3726/$N$3)*100</f>
        <v>9.680184978306619</v>
      </c>
      <c r="O17" s="23">
        <f>(3797/$O$3)*100</f>
        <v>9.86823297034592</v>
      </c>
      <c r="P17" s="15">
        <f>(3801/$P$3)*100</f>
        <v>9.887108521485798</v>
      </c>
      <c r="Q17" s="15">
        <v>9.54</v>
      </c>
      <c r="R17" s="15">
        <v>9.554783870633358</v>
      </c>
    </row>
    <row r="18" spans="1:18" ht="16.5">
      <c r="A18" s="5" t="s">
        <v>16</v>
      </c>
      <c r="B18" s="6">
        <v>11.6</v>
      </c>
      <c r="C18" s="6">
        <v>11.7</v>
      </c>
      <c r="D18" s="6">
        <v>12.432030221509931</v>
      </c>
      <c r="E18" s="6">
        <v>12.512576858580212</v>
      </c>
      <c r="F18" s="6">
        <f>(4763/36254)*100</f>
        <v>13.137860649859325</v>
      </c>
      <c r="G18" s="6">
        <v>12.9</v>
      </c>
      <c r="H18" s="6">
        <v>12.7</v>
      </c>
      <c r="I18" s="6">
        <v>13.3</v>
      </c>
      <c r="J18" s="14">
        <v>13.4</v>
      </c>
      <c r="K18" s="15">
        <f>(4909/$K$3)*100</f>
        <v>13.217555196553581</v>
      </c>
      <c r="L18" s="15">
        <f>(4902/$L$3)*100</f>
        <v>13.062943026168522</v>
      </c>
      <c r="M18" s="15">
        <f>(5003/$M$3)*100</f>
        <v>13.213776345676404</v>
      </c>
      <c r="N18" s="15">
        <f>(5050/$N$3)*100</f>
        <v>13.11995011820945</v>
      </c>
      <c r="O18" s="23">
        <f>(5045/$O$3)*100</f>
        <v>13.111729084907866</v>
      </c>
      <c r="P18" s="15">
        <f>(5095/$P$3)*100</f>
        <v>13.25304338778483</v>
      </c>
      <c r="Q18" s="15">
        <v>12.93</v>
      </c>
      <c r="R18" s="15">
        <v>12.89779205970768</v>
      </c>
    </row>
    <row r="19" spans="1:18" ht="16.5">
      <c r="A19" s="5" t="s">
        <v>17</v>
      </c>
      <c r="B19" s="6">
        <v>15.7</v>
      </c>
      <c r="C19" s="6">
        <v>15.67533909088448</v>
      </c>
      <c r="D19" s="6">
        <v>16.00080132791483</v>
      </c>
      <c r="E19" s="6">
        <v>15.953046394633875</v>
      </c>
      <c r="F19" s="6">
        <f>(6029/36254)*100</f>
        <v>16.629889115683785</v>
      </c>
      <c r="G19" s="6">
        <v>16.8</v>
      </c>
      <c r="H19" s="6">
        <v>16.9</v>
      </c>
      <c r="I19" s="6">
        <v>16.6</v>
      </c>
      <c r="J19" s="14">
        <v>16.8</v>
      </c>
      <c r="K19" s="15">
        <f>(6248/$K$3)*100</f>
        <v>16.82283252557889</v>
      </c>
      <c r="L19" s="15">
        <f>(6257/$L$3)*100</f>
        <v>16.67377285082343</v>
      </c>
      <c r="M19" s="15">
        <f>(6274/$M$3)*100</f>
        <v>16.570704136073108</v>
      </c>
      <c r="N19" s="15">
        <f>(6148/$N$3)*100</f>
        <v>15.97256501519836</v>
      </c>
      <c r="O19" s="23">
        <f>(6403/$O$3)*100</f>
        <v>16.641110273669984</v>
      </c>
      <c r="P19" s="15">
        <v>16.29</v>
      </c>
      <c r="Q19" s="15">
        <v>16.54</v>
      </c>
      <c r="R19" s="15">
        <v>15.548875298020109</v>
      </c>
    </row>
    <row r="20" spans="1:18" ht="16.5">
      <c r="A20" s="5" t="s">
        <v>18</v>
      </c>
      <c r="B20" s="6">
        <v>15.6</v>
      </c>
      <c r="C20" s="6">
        <v>15.615778216964019</v>
      </c>
      <c r="D20" s="6">
        <v>16.47015053517257</v>
      </c>
      <c r="E20" s="6">
        <v>16.2157629960872</v>
      </c>
      <c r="F20" s="6">
        <f>(5684/36254)*100</f>
        <v>15.678269984001766</v>
      </c>
      <c r="G20" s="6">
        <v>15.9</v>
      </c>
      <c r="H20" s="6">
        <v>15.7</v>
      </c>
      <c r="I20" s="6">
        <v>15.9</v>
      </c>
      <c r="J20" s="14">
        <v>15.6</v>
      </c>
      <c r="K20" s="15">
        <f>(5706/$K$3)*100</f>
        <v>15.363489499192246</v>
      </c>
      <c r="L20" s="15">
        <f>(5758/$L$3)*100</f>
        <v>15.344028140489261</v>
      </c>
      <c r="M20" s="15">
        <f>(5829/$M$3)*100</f>
        <v>15.395383233849241</v>
      </c>
      <c r="N20" s="15">
        <f>(5943/$N$3)*100</f>
        <v>15.439972980696787</v>
      </c>
      <c r="O20" s="23">
        <f>(5901/$O$3)*100</f>
        <v>15.336434753229202</v>
      </c>
      <c r="P20" s="15">
        <v>15.69</v>
      </c>
      <c r="Q20" s="15">
        <v>15.69</v>
      </c>
      <c r="R20" s="15">
        <v>15.590338965481495</v>
      </c>
    </row>
    <row r="21" spans="1:18" ht="16.5">
      <c r="A21" s="5" t="s">
        <v>19</v>
      </c>
      <c r="B21" s="6">
        <v>15.922783411989155</v>
      </c>
      <c r="C21" s="6">
        <v>15.756558464412379</v>
      </c>
      <c r="D21" s="6">
        <v>15.333982027359625</v>
      </c>
      <c r="E21" s="6">
        <v>14.678591391839015</v>
      </c>
      <c r="F21" s="6">
        <f>(5188/36254)*100</f>
        <v>14.310145087438627</v>
      </c>
      <c r="G21" s="6">
        <v>14.6</v>
      </c>
      <c r="H21" s="6">
        <v>14.6</v>
      </c>
      <c r="I21" s="6">
        <v>14.1</v>
      </c>
      <c r="J21" s="14">
        <v>13.8</v>
      </c>
      <c r="K21" s="15">
        <f>(5115/$K$3)*100</f>
        <v>13.77221324717286</v>
      </c>
      <c r="L21" s="15">
        <f>(5154/$L$3)*100</f>
        <v>13.734477428982572</v>
      </c>
      <c r="M21" s="15">
        <f>(5327/$M$3)*100</f>
        <v>14.069515609318051</v>
      </c>
      <c r="N21" s="15">
        <f>(5421/$N$3)*100</f>
        <v>14.083811800161078</v>
      </c>
      <c r="O21" s="23">
        <f>(5393/$O$3)*100</f>
        <v>14.016165501468409</v>
      </c>
      <c r="P21" s="15">
        <f>(5288/$P$3)*100</f>
        <v>13.755072312974717</v>
      </c>
      <c r="Q21" s="15">
        <v>13.78</v>
      </c>
      <c r="R21" s="15">
        <v>14.229812376904738</v>
      </c>
    </row>
    <row r="22" spans="1:18" ht="16.5">
      <c r="A22" s="5" t="s">
        <v>11</v>
      </c>
      <c r="B22" s="6">
        <v>0.8032935033637915</v>
      </c>
      <c r="C22" s="6">
        <v>0.8446814846901481</v>
      </c>
      <c r="D22" s="6">
        <v>0.781294716959533</v>
      </c>
      <c r="E22" s="6">
        <v>0.7518166573504751</v>
      </c>
      <c r="F22" s="31">
        <v>0.8</v>
      </c>
      <c r="G22" s="6">
        <v>0.9</v>
      </c>
      <c r="H22" s="6">
        <v>0.9</v>
      </c>
      <c r="I22" s="6">
        <v>0.9</v>
      </c>
      <c r="J22" s="14">
        <v>0.9</v>
      </c>
      <c r="K22" s="15">
        <f>(314/$K$3)*100</f>
        <v>0.8454496499730748</v>
      </c>
      <c r="L22" s="15">
        <f>(335/$L$3)*100</f>
        <v>0.8927143846932794</v>
      </c>
      <c r="M22" s="15">
        <f>(295/$M$3)*100</f>
        <v>0.7791453172045851</v>
      </c>
      <c r="N22" s="15">
        <f>(329/$N$3)*100</f>
        <v>0.8547452651269127</v>
      </c>
      <c r="O22" s="23">
        <f>(402/$O$3)*100</f>
        <v>1.044779998440627</v>
      </c>
      <c r="P22" s="15">
        <f>(350/$P$3)*100</f>
        <v>0.9104151493080845</v>
      </c>
      <c r="Q22" s="15">
        <v>0.79</v>
      </c>
      <c r="R22" s="15">
        <v>0.8111329947133823</v>
      </c>
    </row>
    <row r="23" spans="1:18" ht="16.5">
      <c r="A23" s="2" t="s">
        <v>2</v>
      </c>
      <c r="B23" s="4"/>
      <c r="C23" s="6"/>
      <c r="D23" s="6"/>
      <c r="E23" s="6"/>
      <c r="F23" s="6"/>
      <c r="G23" s="6"/>
      <c r="H23" s="6"/>
      <c r="I23" s="6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6.5">
      <c r="A24" s="5" t="s">
        <v>20</v>
      </c>
      <c r="B24" s="6">
        <v>86.70047193493322</v>
      </c>
      <c r="C24" s="6">
        <v>86.73416899044318</v>
      </c>
      <c r="D24" s="6">
        <v>85.7</v>
      </c>
      <c r="E24" s="6">
        <v>87</v>
      </c>
      <c r="F24" s="6">
        <v>87.3</v>
      </c>
      <c r="G24" s="6">
        <v>86.7</v>
      </c>
      <c r="H24" s="6">
        <v>86.3</v>
      </c>
      <c r="I24" s="6">
        <v>86.4</v>
      </c>
      <c r="J24" s="7">
        <v>87.2</v>
      </c>
      <c r="K24" s="23">
        <f>(33063/$K$3)*100</f>
        <v>89.02261712439419</v>
      </c>
      <c r="L24" s="23">
        <f>(33010/$L$3)*100</f>
        <v>87.96567713052283</v>
      </c>
      <c r="M24" s="23">
        <f>(33453/$M$3)*100</f>
        <v>88.35507897099994</v>
      </c>
      <c r="N24" s="23">
        <f>(33882/$N$3)*100</f>
        <v>88.02577225845003</v>
      </c>
      <c r="O24" s="23">
        <f>(33581/$O$3)*100</f>
        <v>87.27551524287237</v>
      </c>
      <c r="P24" s="15">
        <v>87.0201</v>
      </c>
      <c r="Q24" s="15">
        <v>87.94</v>
      </c>
      <c r="R24" s="15">
        <v>89.15206800041464</v>
      </c>
    </row>
    <row r="25" spans="1:18" ht="16.5">
      <c r="A25" s="5" t="s">
        <v>21</v>
      </c>
      <c r="B25" s="6">
        <v>9.340797268802088</v>
      </c>
      <c r="C25" s="6">
        <v>9.047838211007933</v>
      </c>
      <c r="D25" s="6">
        <v>10.016598935378628</v>
      </c>
      <c r="E25" s="6">
        <v>8.711570709893795</v>
      </c>
      <c r="F25" s="6">
        <f>(3016/36254)*100</f>
        <v>8.319082032327467</v>
      </c>
      <c r="G25" s="6">
        <v>8.6</v>
      </c>
      <c r="H25" s="6">
        <v>8.4</v>
      </c>
      <c r="I25" s="6">
        <v>8.8</v>
      </c>
      <c r="J25" s="14">
        <v>8.8</v>
      </c>
      <c r="K25" s="23">
        <f>(2724/$K$3)*100</f>
        <v>7.334410339256866</v>
      </c>
      <c r="L25" s="23">
        <f>(2654/$L$3)*100</f>
        <v>7.072429782017801</v>
      </c>
      <c r="M25" s="23">
        <f>(2839/$M$3)*100</f>
        <v>7.498283239131583</v>
      </c>
      <c r="N25" s="15">
        <f>(3014/$N$3)*100</f>
        <v>7.830401912135304</v>
      </c>
      <c r="O25" s="23">
        <f>(2983/$O$3)*100</f>
        <v>7.752683421264652</v>
      </c>
      <c r="P25" s="15">
        <v>8.316</v>
      </c>
      <c r="Q25" s="15">
        <v>7.44</v>
      </c>
      <c r="R25" s="15">
        <v>7.201720742199648</v>
      </c>
    </row>
    <row r="26" spans="1:18" ht="16.5">
      <c r="A26" s="5" t="s">
        <v>22</v>
      </c>
      <c r="B26" s="6">
        <v>1.6166281755196306</v>
      </c>
      <c r="C26" s="6">
        <v>1.851801716436094</v>
      </c>
      <c r="D26" s="6">
        <v>1.9718390475645355</v>
      </c>
      <c r="E26" s="6">
        <v>2.219116825041923</v>
      </c>
      <c r="F26" s="6">
        <f>(664/36254)*100</f>
        <v>1.8315220389474265</v>
      </c>
      <c r="G26" s="6">
        <v>2.4</v>
      </c>
      <c r="H26" s="6">
        <v>2.7</v>
      </c>
      <c r="I26" s="6">
        <v>2.5</v>
      </c>
      <c r="J26" s="7">
        <v>1.7</v>
      </c>
      <c r="K26" s="23">
        <f>(604/$K$3)*100</f>
        <v>1.626278944534195</v>
      </c>
      <c r="L26" s="23">
        <f>(881/$L$3)*100</f>
        <v>2.3477055907903854</v>
      </c>
      <c r="M26" s="15">
        <f>(693/$M$3)*100</f>
        <v>1.8303312027890761</v>
      </c>
      <c r="N26" s="15">
        <f>(734/$N$3)*100</f>
        <v>1.906939284508067</v>
      </c>
      <c r="O26" s="23">
        <f>(862/$O$3)*100</f>
        <v>2.2402993996413443</v>
      </c>
      <c r="P26" s="15">
        <f>(750/$P$3)*100</f>
        <v>1.9508896056601812</v>
      </c>
      <c r="Q26" s="15">
        <v>1.97</v>
      </c>
      <c r="R26" s="15">
        <v>1.199854877163885</v>
      </c>
    </row>
    <row r="27" spans="1:18" ht="16.5">
      <c r="A27" s="5" t="s">
        <v>23</v>
      </c>
      <c r="B27" s="6">
        <v>2.3421026207450546</v>
      </c>
      <c r="C27" s="6">
        <v>2.3661910821127865</v>
      </c>
      <c r="D27" s="6">
        <v>2.335298494648274</v>
      </c>
      <c r="E27" s="6">
        <v>2.1</v>
      </c>
      <c r="F27" s="6">
        <v>2.5</v>
      </c>
      <c r="G27" s="6">
        <v>2.3</v>
      </c>
      <c r="H27" s="6">
        <v>2.6</v>
      </c>
      <c r="I27" s="6">
        <v>2.3</v>
      </c>
      <c r="J27" s="7">
        <v>2.3</v>
      </c>
      <c r="K27" s="23">
        <f>(749/$K$3)*100</f>
        <v>2.016693591814755</v>
      </c>
      <c r="L27" s="23">
        <f>(981/$L$3)*100</f>
        <v>2.614187496668976</v>
      </c>
      <c r="M27" s="23">
        <f>(877/$M$3)*100</f>
        <v>2.3163065870793935</v>
      </c>
      <c r="N27" s="23">
        <f>(861/$N$3)*100</f>
        <v>2.2368865449066013</v>
      </c>
      <c r="O27" s="23">
        <f>(1051/$O$3)*100</f>
        <v>2.7315019362216386</v>
      </c>
      <c r="P27" s="15">
        <v>2.7156</v>
      </c>
      <c r="Q27" s="15">
        <v>2.66</v>
      </c>
      <c r="R27" s="15">
        <f>1.39939877682181+1.046958</f>
        <v>2.44635677682181</v>
      </c>
    </row>
    <row r="28" spans="1:18" ht="16.5">
      <c r="A28" s="2" t="s">
        <v>3</v>
      </c>
      <c r="B28" s="6"/>
      <c r="C28" s="6"/>
      <c r="D28" s="6"/>
      <c r="E28" s="6"/>
      <c r="F28" s="6"/>
      <c r="G28" s="6"/>
      <c r="H28" s="6"/>
      <c r="I28" s="6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6.5">
      <c r="A29" s="5" t="s">
        <v>24</v>
      </c>
      <c r="B29" s="6">
        <v>44.96937443518426</v>
      </c>
      <c r="C29" s="6">
        <v>45.41516636435011</v>
      </c>
      <c r="D29" s="6">
        <v>46.02484116535974</v>
      </c>
      <c r="E29" s="6">
        <v>47.65790944661823</v>
      </c>
      <c r="F29" s="6">
        <v>49.5</v>
      </c>
      <c r="G29" s="6">
        <v>48.7</v>
      </c>
      <c r="H29" s="6">
        <v>49.3</v>
      </c>
      <c r="I29" s="6">
        <v>50.3</v>
      </c>
      <c r="J29" s="7">
        <v>50.5</v>
      </c>
      <c r="K29" s="16">
        <f>(18835/$K$3)*100</f>
        <v>50.713516424340334</v>
      </c>
      <c r="L29" s="16">
        <f>(18939/$L$3)*100</f>
        <v>50.46900815434632</v>
      </c>
      <c r="M29" s="26">
        <f>(19221/$M$3)*100</f>
        <v>50.76593946437061</v>
      </c>
      <c r="N29" s="26">
        <f>(18937/$N$3)*100</f>
        <v>49.198513938323245</v>
      </c>
      <c r="O29" s="26">
        <f>(19330/$O$3)*100</f>
        <v>50.23780440263014</v>
      </c>
      <c r="P29" s="16">
        <v>49.97</v>
      </c>
      <c r="Q29" s="25">
        <v>49.5</v>
      </c>
      <c r="R29" s="16">
        <v>48.32331294703017</v>
      </c>
    </row>
    <row r="30" spans="1:18" ht="16.5">
      <c r="A30" s="5" t="s">
        <v>25</v>
      </c>
      <c r="B30" s="6">
        <v>17.69253941158751</v>
      </c>
      <c r="C30" s="6">
        <v>17.370116685166632</v>
      </c>
      <c r="D30" s="6">
        <v>17.354473126896</v>
      </c>
      <c r="E30" s="6">
        <v>16.4</v>
      </c>
      <c r="F30" s="6">
        <f>(5640/36254)*100</f>
        <v>15.556904065758262</v>
      </c>
      <c r="G30" s="6">
        <v>16</v>
      </c>
      <c r="H30" s="6">
        <v>15.9</v>
      </c>
      <c r="I30" s="6">
        <v>15.6</v>
      </c>
      <c r="J30" s="7">
        <v>14.9</v>
      </c>
      <c r="K30" s="16">
        <f>(5564/$K$3)*100</f>
        <v>14.98115239633818</v>
      </c>
      <c r="L30" s="16">
        <f>(5976/$L$3)*100</f>
        <v>15.92495869530459</v>
      </c>
      <c r="M30" s="26">
        <f>(5955/$M$3)*100</f>
        <v>15.72817072526544</v>
      </c>
      <c r="N30" s="26">
        <f>(6187/$N$3)*100</f>
        <v>16.073887402249877</v>
      </c>
      <c r="O30" s="26">
        <f>(6054/$O$3)*100</f>
        <v>15.734074901889441</v>
      </c>
      <c r="P30" s="16">
        <v>15.84</v>
      </c>
      <c r="Q30" s="25">
        <v>15.9</v>
      </c>
      <c r="R30" s="16">
        <v>16.302995749974087</v>
      </c>
    </row>
    <row r="31" spans="1:18" ht="16.5">
      <c r="A31" s="5" t="s">
        <v>26</v>
      </c>
      <c r="B31" s="6">
        <v>32.6915352947083</v>
      </c>
      <c r="C31" s="6">
        <v>33.02921190134553</v>
      </c>
      <c r="D31" s="6">
        <v>32.38509530078416</v>
      </c>
      <c r="E31" s="6">
        <v>31.5</v>
      </c>
      <c r="F31" s="6">
        <v>30.3</v>
      </c>
      <c r="G31" s="6">
        <v>30.7</v>
      </c>
      <c r="H31" s="6">
        <v>30.3</v>
      </c>
      <c r="I31" s="6">
        <v>29.5</v>
      </c>
      <c r="J31" s="15">
        <v>30</v>
      </c>
      <c r="K31" s="16">
        <f>(11032/$K$3)*100</f>
        <v>29.70382337102854</v>
      </c>
      <c r="L31" s="16">
        <f>(10946/$L$3)*100</f>
        <v>29.16910941747055</v>
      </c>
      <c r="M31" s="16">
        <f>(10993/$M$3)*100</f>
        <v>29.034388040779675</v>
      </c>
      <c r="N31" s="26">
        <f>(11632/$N$3)*100</f>
        <v>30.220051440596503</v>
      </c>
      <c r="O31" s="26">
        <f>(11423/$O$3)*100</f>
        <v>29.687865478077814</v>
      </c>
      <c r="P31" s="16">
        <v>29.6</v>
      </c>
      <c r="Q31" s="16">
        <v>30.03</v>
      </c>
      <c r="R31" s="16">
        <v>30.242562454649114</v>
      </c>
    </row>
    <row r="32" spans="1:18" ht="16.5">
      <c r="A32" s="5" t="s">
        <v>27</v>
      </c>
      <c r="B32" s="6">
        <v>4.187167386283763</v>
      </c>
      <c r="C32" s="6">
        <v>3.9201884289465845</v>
      </c>
      <c r="D32" s="6">
        <v>3.9093354702077727</v>
      </c>
      <c r="E32" s="6">
        <v>4.200670765790945</v>
      </c>
      <c r="F32" s="6">
        <v>4.2</v>
      </c>
      <c r="G32" s="6">
        <v>4.2</v>
      </c>
      <c r="H32" s="6">
        <v>4.2</v>
      </c>
      <c r="I32" s="6">
        <v>4.2</v>
      </c>
      <c r="J32" s="14">
        <v>4.3</v>
      </c>
      <c r="K32" s="16">
        <f>(1588/$K$3)*100</f>
        <v>4.27571351642434</v>
      </c>
      <c r="L32" s="16">
        <f>(1533/$L$3)*100</f>
        <v>4.085167617118798</v>
      </c>
      <c r="M32" s="16">
        <f>(1544/$M$3)*100</f>
        <v>4.077967355131794</v>
      </c>
      <c r="N32" s="26">
        <f>(1558/$N$3)*100</f>
        <v>4.047699462211946</v>
      </c>
      <c r="O32" s="26">
        <f>(1492/$O$3)*100</f>
        <v>3.8776411882423263</v>
      </c>
      <c r="P32" s="16">
        <f>(1567/$P$3)*100</f>
        <v>4.076058682759339</v>
      </c>
      <c r="Q32" s="16">
        <v>4.11</v>
      </c>
      <c r="R32" s="16">
        <v>4.239659997926816</v>
      </c>
    </row>
    <row r="33" spans="1:18" ht="17.25" thickBot="1">
      <c r="A33" s="9" t="s">
        <v>11</v>
      </c>
      <c r="B33" s="10">
        <v>0.3162968169494929</v>
      </c>
      <c r="C33" s="10">
        <v>0.2653166201911362</v>
      </c>
      <c r="D33" s="10">
        <v>0.2861885410108179</v>
      </c>
      <c r="E33" s="10">
        <v>0.2</v>
      </c>
      <c r="F33" s="10">
        <v>0.3</v>
      </c>
      <c r="G33" s="10">
        <v>0.4</v>
      </c>
      <c r="H33" s="10">
        <v>0.3</v>
      </c>
      <c r="I33" s="10">
        <v>0.4</v>
      </c>
      <c r="J33" s="11">
        <v>0.3</v>
      </c>
      <c r="K33" s="18">
        <f>(121/$K$3)*100</f>
        <v>0.32579429186860526</v>
      </c>
      <c r="L33" s="33">
        <f>(132/$L$3)*100</f>
        <v>0.3517561157597399</v>
      </c>
      <c r="M33" s="33">
        <f>(149/$M$3)*100</f>
        <v>0.3935344144524853</v>
      </c>
      <c r="N33" s="33">
        <f>(177/$N$3)*100</f>
        <v>0.45984775661843025</v>
      </c>
      <c r="O33" s="33">
        <f>(178/$O$3)*100</f>
        <v>0.46261402916027755</v>
      </c>
      <c r="P33" s="18">
        <v>0.4422</v>
      </c>
      <c r="Q33" s="37">
        <v>0.5</v>
      </c>
      <c r="R33" s="18">
        <v>0.8914688504198196</v>
      </c>
    </row>
    <row r="34" spans="1:12" ht="16.5">
      <c r="A34" s="42" t="s">
        <v>46</v>
      </c>
      <c r="B34" s="43"/>
      <c r="C34" s="43"/>
      <c r="D34" s="43"/>
      <c r="E34" s="43"/>
      <c r="F34" s="43"/>
      <c r="G34" s="43"/>
      <c r="H34" s="27"/>
      <c r="I34" s="27"/>
      <c r="J34" s="28"/>
      <c r="K34" s="16"/>
      <c r="L34" s="26"/>
    </row>
    <row r="35" spans="1:12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1"/>
      <c r="L35" s="1"/>
    </row>
    <row r="36" spans="1:12" ht="12.75">
      <c r="A36" s="44" t="s">
        <v>41</v>
      </c>
      <c r="B36" s="44"/>
      <c r="C36" s="44"/>
      <c r="D36" s="44"/>
      <c r="E36" s="44"/>
      <c r="F36" s="44"/>
      <c r="G36" s="44"/>
      <c r="H36" s="12"/>
      <c r="I36" s="12"/>
      <c r="J36" s="12"/>
      <c r="K36" s="1"/>
      <c r="L36" s="1"/>
    </row>
    <row r="37" spans="1:12" ht="30" customHeight="1">
      <c r="A37" s="45" t="s">
        <v>51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34:G34"/>
    <mergeCell ref="A36:G36"/>
    <mergeCell ref="A37:L37"/>
    <mergeCell ref="A1:R1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7">
      <selection activeCell="A34" sqref="A34:L37"/>
    </sheetView>
  </sheetViews>
  <sheetFormatPr defaultColWidth="9.140625" defaultRowHeight="12.75"/>
  <cols>
    <col min="1" max="1" width="21.00390625" style="1" customWidth="1"/>
    <col min="2" max="17" width="9.00390625" style="1" customWidth="1"/>
    <col min="18" max="16384" width="9.140625" style="1" customWidth="1"/>
  </cols>
  <sheetData>
    <row r="1" spans="1:17" ht="16.5" customHeight="1" thickBot="1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2" customFormat="1" ht="16.5" customHeight="1">
      <c r="A2" s="21"/>
      <c r="B2" s="19" t="s">
        <v>29</v>
      </c>
      <c r="C2" s="19" t="s">
        <v>30</v>
      </c>
      <c r="D2" s="19" t="s">
        <v>31</v>
      </c>
      <c r="E2" s="19" t="s">
        <v>32</v>
      </c>
      <c r="F2" s="19" t="s">
        <v>33</v>
      </c>
      <c r="G2" s="19" t="s">
        <v>34</v>
      </c>
      <c r="H2" s="19" t="s">
        <v>35</v>
      </c>
      <c r="I2" s="19" t="s">
        <v>36</v>
      </c>
      <c r="J2" s="20" t="s">
        <v>37</v>
      </c>
      <c r="K2" s="20" t="s">
        <v>38</v>
      </c>
      <c r="L2" s="20" t="s">
        <v>39</v>
      </c>
      <c r="M2" s="20" t="s">
        <v>40</v>
      </c>
      <c r="N2" s="20" t="s">
        <v>43</v>
      </c>
      <c r="O2" s="20" t="s">
        <v>44</v>
      </c>
      <c r="P2" s="20" t="s">
        <v>45</v>
      </c>
      <c r="Q2" s="20" t="s">
        <v>47</v>
      </c>
    </row>
    <row r="3" spans="1:17" ht="16.5">
      <c r="A3" s="2" t="s">
        <v>28</v>
      </c>
      <c r="B3" s="3">
        <v>39836</v>
      </c>
      <c r="C3" s="3">
        <v>36937</v>
      </c>
      <c r="D3" s="3">
        <v>34942</v>
      </c>
      <c r="E3" s="3">
        <v>35780</v>
      </c>
      <c r="F3" s="3">
        <v>36254</v>
      </c>
      <c r="G3" s="3">
        <v>37241</v>
      </c>
      <c r="H3" s="3">
        <v>37494</v>
      </c>
      <c r="I3" s="3">
        <v>37324</v>
      </c>
      <c r="J3" s="13">
        <v>37107</v>
      </c>
      <c r="K3" s="13">
        <v>37140</v>
      </c>
      <c r="L3" s="13">
        <v>37526</v>
      </c>
      <c r="M3" s="13">
        <v>37862</v>
      </c>
      <c r="N3" s="13">
        <v>38491</v>
      </c>
      <c r="O3" s="13">
        <v>38477</v>
      </c>
      <c r="P3" s="34">
        <v>38444</v>
      </c>
      <c r="Q3" s="13">
        <v>39189</v>
      </c>
    </row>
    <row r="4" spans="1:18" ht="16.5">
      <c r="A4" s="2" t="s">
        <v>0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P4"/>
      <c r="Q4"/>
      <c r="R4"/>
    </row>
    <row r="5" spans="1:17" ht="16.5">
      <c r="A5" s="5" t="s">
        <v>4</v>
      </c>
      <c r="B5" s="6">
        <v>16.095993573651974</v>
      </c>
      <c r="C5" s="6">
        <v>16.2465820180307</v>
      </c>
      <c r="D5" s="6">
        <v>15.92639230725202</v>
      </c>
      <c r="E5" s="6">
        <v>15.771380659586361</v>
      </c>
      <c r="F5" s="6">
        <f>(5754/36254)*100</f>
        <v>15.871352126661886</v>
      </c>
      <c r="G5" s="6">
        <v>15.7</v>
      </c>
      <c r="H5" s="6">
        <v>15.2</v>
      </c>
      <c r="I5" s="6">
        <v>15.8</v>
      </c>
      <c r="J5" s="14">
        <v>15.5</v>
      </c>
      <c r="K5" s="6">
        <f>(5848/$K$3)*100</f>
        <v>15.745826602046312</v>
      </c>
      <c r="L5" s="15">
        <f>(6027/$L$3)*100</f>
        <v>16.06086446730267</v>
      </c>
      <c r="M5" s="15">
        <f>(6041/$M$3)*100</f>
        <v>15.955311394009824</v>
      </c>
      <c r="N5" s="15">
        <f>(6134/$N$3)*100</f>
        <v>15.936192876256788</v>
      </c>
      <c r="O5" s="23">
        <f>(6165/$O$3)*100</f>
        <v>16.022558931309614</v>
      </c>
      <c r="P5" s="35">
        <v>16.21</v>
      </c>
      <c r="Q5" s="15">
        <v>15.9</v>
      </c>
    </row>
    <row r="6" spans="1:17" ht="16.5">
      <c r="A6" s="5" t="s">
        <v>5</v>
      </c>
      <c r="B6" s="6">
        <v>11.697961642735216</v>
      </c>
      <c r="C6" s="6">
        <v>11.546687603216286</v>
      </c>
      <c r="D6" s="6">
        <v>11.6163928796291</v>
      </c>
      <c r="E6" s="6">
        <v>12.12688652878703</v>
      </c>
      <c r="F6" s="6">
        <f>(4506/36254)*100</f>
        <v>12.428973354664313</v>
      </c>
      <c r="G6" s="6">
        <v>12.428973354664313</v>
      </c>
      <c r="H6" s="6">
        <v>12.7</v>
      </c>
      <c r="I6" s="6">
        <v>12.1</v>
      </c>
      <c r="J6" s="14">
        <v>12.4</v>
      </c>
      <c r="K6" s="6">
        <f>(4681/$K$3)*100</f>
        <v>12.603661820140012</v>
      </c>
      <c r="L6" s="15">
        <f>(4631/$L$3)*100</f>
        <v>12.340777061237542</v>
      </c>
      <c r="M6" s="15">
        <f>(4780/$M$3)*100</f>
        <v>12.624795309281073</v>
      </c>
      <c r="N6" s="15">
        <f>(4697/$N$3)*100</f>
        <v>12.202852614896988</v>
      </c>
      <c r="O6" s="23">
        <f>(4722/$O$3)*100</f>
        <v>12.272266548847362</v>
      </c>
      <c r="P6" s="15">
        <f>(4748/$P$3)*100</f>
        <v>12.350431796899386</v>
      </c>
      <c r="Q6" s="15">
        <v>12.6</v>
      </c>
    </row>
    <row r="7" spans="1:17" ht="16.5">
      <c r="A7" s="5" t="s">
        <v>6</v>
      </c>
      <c r="B7" s="6">
        <v>11.464504468320111</v>
      </c>
      <c r="C7" s="6">
        <v>11.457346292335599</v>
      </c>
      <c r="D7" s="6">
        <v>11.479022379943906</v>
      </c>
      <c r="E7" s="6">
        <v>11.774734488541085</v>
      </c>
      <c r="F7" s="6">
        <f>(4239/36254)*100</f>
        <v>11.69250289623214</v>
      </c>
      <c r="G7" s="6">
        <v>11.8</v>
      </c>
      <c r="H7" s="6">
        <v>12.4</v>
      </c>
      <c r="I7" s="6">
        <v>11.9</v>
      </c>
      <c r="J7" s="14">
        <v>12.4</v>
      </c>
      <c r="K7" s="6">
        <f>(4407/$K$3)*100</f>
        <v>11.865912762520194</v>
      </c>
      <c r="L7" s="15">
        <f>(4499/$L$3)*100</f>
        <v>11.989020945477801</v>
      </c>
      <c r="M7" s="15">
        <f>(4584/$M$3)*100</f>
        <v>12.107125878189214</v>
      </c>
      <c r="N7" s="23">
        <f>(4754/$N$3)*100</f>
        <v>12.35093918058767</v>
      </c>
      <c r="O7" s="23">
        <f>(4678/$O$3)*100</f>
        <v>12.157912519167295</v>
      </c>
      <c r="P7" s="15">
        <f>(4449/$P$3)*100</f>
        <v>11.572677140776195</v>
      </c>
      <c r="Q7" s="15">
        <v>11.8</v>
      </c>
    </row>
    <row r="8" spans="1:17" ht="16.5">
      <c r="A8" s="5" t="s">
        <v>7</v>
      </c>
      <c r="B8" s="6">
        <v>11.484586805904208</v>
      </c>
      <c r="C8" s="6">
        <v>11.860735847524163</v>
      </c>
      <c r="D8" s="6">
        <v>12.317554805105603</v>
      </c>
      <c r="E8" s="6">
        <v>11.953605366126327</v>
      </c>
      <c r="F8" s="6">
        <f>(4472/36254)*100</f>
        <v>12.335190599657968</v>
      </c>
      <c r="G8" s="6">
        <v>11.9</v>
      </c>
      <c r="H8" s="6">
        <v>12.2</v>
      </c>
      <c r="I8" s="6">
        <v>13</v>
      </c>
      <c r="J8" s="14">
        <v>12.4</v>
      </c>
      <c r="K8" s="6">
        <f>(4630/$K$3)*100</f>
        <v>12.466343564889607</v>
      </c>
      <c r="L8" s="15">
        <f>(4566/$L$3)*100</f>
        <v>12.167563822416458</v>
      </c>
      <c r="M8" s="15">
        <f>(4602/$M$3)*100</f>
        <v>12.154666948391526</v>
      </c>
      <c r="N8" s="15">
        <f>(4855/$N$3)*100</f>
        <v>12.613338182951859</v>
      </c>
      <c r="O8" s="23">
        <f>(4859/$O$3)*100</f>
        <v>12.628323413987577</v>
      </c>
      <c r="P8" s="35">
        <v>12.36</v>
      </c>
      <c r="Q8" s="15">
        <v>12.4</v>
      </c>
    </row>
    <row r="9" spans="1:17" ht="16.5">
      <c r="A9" s="5" t="s">
        <v>8</v>
      </c>
      <c r="B9" s="6">
        <v>12.6</v>
      </c>
      <c r="C9" s="6">
        <v>12.524027398002001</v>
      </c>
      <c r="D9" s="6">
        <v>13.3</v>
      </c>
      <c r="E9" s="6">
        <v>12.984907769703746</v>
      </c>
      <c r="F9" s="6">
        <f>(4598/36254)*100</f>
        <v>12.682738456446184</v>
      </c>
      <c r="G9" s="6">
        <v>13</v>
      </c>
      <c r="H9" s="6">
        <v>13.3</v>
      </c>
      <c r="I9" s="6">
        <v>13</v>
      </c>
      <c r="J9" s="7">
        <v>13.5</v>
      </c>
      <c r="K9" s="6">
        <f>(4782/$K$3)*100</f>
        <v>12.875605815831987</v>
      </c>
      <c r="L9" s="15">
        <f>(4877/$L$3)*100</f>
        <v>12.996322549698874</v>
      </c>
      <c r="M9" s="15">
        <f>(4812/$M$3)*100</f>
        <v>12.70931276741852</v>
      </c>
      <c r="N9" s="15">
        <f>(4934/$N$3)*100</f>
        <v>12.818580966979292</v>
      </c>
      <c r="O9" s="23">
        <f>(4935/$O$3)*100</f>
        <v>12.825844010707696</v>
      </c>
      <c r="P9" s="35">
        <v>13.26</v>
      </c>
      <c r="Q9" s="15">
        <v>12.9</v>
      </c>
    </row>
    <row r="10" spans="1:17" ht="16.5">
      <c r="A10" s="5" t="s">
        <v>9</v>
      </c>
      <c r="B10" s="6">
        <v>16.7</v>
      </c>
      <c r="C10" s="6">
        <v>16.4631670141051</v>
      </c>
      <c r="D10" s="6">
        <v>16.06376280693721</v>
      </c>
      <c r="E10" s="6">
        <v>16.277249860257125</v>
      </c>
      <c r="F10" s="6">
        <f>(5922/36254)*100</f>
        <v>16.334749269046174</v>
      </c>
      <c r="G10" s="6">
        <v>16.6</v>
      </c>
      <c r="H10" s="6">
        <v>16.1</v>
      </c>
      <c r="I10" s="6">
        <v>16.1</v>
      </c>
      <c r="J10" s="14">
        <v>15.8</v>
      </c>
      <c r="K10" s="6">
        <f>(5922/$K$3)*100</f>
        <v>15.945072697899839</v>
      </c>
      <c r="L10" s="15">
        <f>(5993/$L$3)*100</f>
        <v>15.97026061930395</v>
      </c>
      <c r="M10" s="15">
        <f>(6121/$M$3)*100</f>
        <v>16.166605039353442</v>
      </c>
      <c r="N10" s="15">
        <f>(6090/$N$3)*100</f>
        <v>15.82188043958328</v>
      </c>
      <c r="O10" s="23">
        <f>(6024/$O$3)*100</f>
        <v>15.656106245289395</v>
      </c>
      <c r="P10" s="35">
        <v>16.02</v>
      </c>
      <c r="Q10" s="15">
        <v>15.7</v>
      </c>
    </row>
    <row r="11" spans="1:17" ht="16.5">
      <c r="A11" s="5" t="s">
        <v>10</v>
      </c>
      <c r="B11" s="6">
        <v>20</v>
      </c>
      <c r="C11" s="6">
        <v>19.87167338982592</v>
      </c>
      <c r="D11" s="6">
        <v>19.30341709117967</v>
      </c>
      <c r="E11" s="6">
        <v>18.996646171045274</v>
      </c>
      <c r="F11" s="6">
        <v>18.6</v>
      </c>
      <c r="G11" s="6">
        <v>18.535885695371547</v>
      </c>
      <c r="H11" s="6">
        <v>18.2</v>
      </c>
      <c r="I11" s="6">
        <v>18</v>
      </c>
      <c r="J11" s="15">
        <v>18</v>
      </c>
      <c r="K11" s="6">
        <f>(6866/$K$3)*100</f>
        <v>18.486806677436725</v>
      </c>
      <c r="L11" s="15">
        <f>(6928/$L$3)*100</f>
        <v>18.461866439268775</v>
      </c>
      <c r="M11" s="15">
        <f>(6905/$M$3)*100</f>
        <v>18.23728276372088</v>
      </c>
      <c r="N11" s="23">
        <f>(7019/$N$3)*100</f>
        <v>18.23543165934894</v>
      </c>
      <c r="O11" s="23">
        <f>(7075/$O$3)*100</f>
        <v>18.387608181511034</v>
      </c>
      <c r="P11" s="15">
        <f>(6902/$P$3)*100</f>
        <v>17.953386744355427</v>
      </c>
      <c r="Q11" s="15">
        <v>18.6</v>
      </c>
    </row>
    <row r="12" spans="1:17" ht="16.5">
      <c r="A12" s="5" t="s">
        <v>11</v>
      </c>
      <c r="B12" s="8">
        <v>0.02008233758409479</v>
      </c>
      <c r="C12" s="8">
        <v>0.02978043696022958</v>
      </c>
      <c r="D12" s="8">
        <v>0.011447541640432718</v>
      </c>
      <c r="E12" s="8">
        <v>0.022358859698155393</v>
      </c>
      <c r="F12" s="8">
        <v>0.04</v>
      </c>
      <c r="G12" s="8">
        <v>0.03309979588459205</v>
      </c>
      <c r="H12" s="8">
        <v>0.04</v>
      </c>
      <c r="I12" s="8">
        <v>0.05</v>
      </c>
      <c r="J12" s="14">
        <v>0.04</v>
      </c>
      <c r="K12" s="8">
        <f>(4/$K$3)*100</f>
        <v>0.010770059235325794</v>
      </c>
      <c r="L12" s="17">
        <f>(5/$L$3)*100</f>
        <v>0.013324095293929542</v>
      </c>
      <c r="M12" s="17">
        <f>(17/$M$3)*100</f>
        <v>0.04489989963551846</v>
      </c>
      <c r="N12" s="32">
        <f>(8/$N$3)*100</f>
        <v>0.02078407939518329</v>
      </c>
      <c r="O12" s="32">
        <f>(19/$O$3)*100</f>
        <v>0.049380149180029635</v>
      </c>
      <c r="P12" s="36">
        <v>0.05</v>
      </c>
      <c r="Q12" s="17" t="s">
        <v>49</v>
      </c>
    </row>
    <row r="13" spans="1:17" ht="16.5">
      <c r="A13" s="2" t="s">
        <v>1</v>
      </c>
      <c r="B13" s="4"/>
      <c r="C13" s="6"/>
      <c r="D13" s="6"/>
      <c r="E13" s="6"/>
      <c r="F13" s="6"/>
      <c r="G13" s="6"/>
      <c r="H13" s="6"/>
      <c r="I13" s="6"/>
      <c r="J13" s="14"/>
      <c r="K13" s="14"/>
      <c r="L13" s="14"/>
      <c r="M13" s="14"/>
      <c r="N13" s="14"/>
      <c r="O13" s="14"/>
      <c r="P13" s="14"/>
      <c r="Q13" s="14"/>
    </row>
    <row r="14" spans="1:17" ht="16.5">
      <c r="A14" s="5" t="s">
        <v>12</v>
      </c>
      <c r="B14" s="6">
        <v>15.699367406366102</v>
      </c>
      <c r="C14" s="6">
        <v>15.293608035303356</v>
      </c>
      <c r="D14" s="6">
        <v>14.266498769389274</v>
      </c>
      <c r="E14" s="6">
        <v>13.8</v>
      </c>
      <c r="F14" s="6">
        <f>(4751/36254)*100</f>
        <v>13.104760853974733</v>
      </c>
      <c r="G14" s="6">
        <v>12.8</v>
      </c>
      <c r="H14" s="6">
        <v>12.6</v>
      </c>
      <c r="I14" s="6">
        <v>12.2</v>
      </c>
      <c r="J14" s="14">
        <v>12.3</v>
      </c>
      <c r="K14" s="15">
        <f>(4538/$K$3)*100</f>
        <v>12.218632202477114</v>
      </c>
      <c r="L14" s="15">
        <f>(4677/$L$3)*100</f>
        <v>12.463358737941693</v>
      </c>
      <c r="M14" s="15">
        <f>(4732/$M$3)*100</f>
        <v>12.498019122074904</v>
      </c>
      <c r="N14" s="15">
        <f>(5051/$N$3)*100</f>
        <v>13.122548128133849</v>
      </c>
      <c r="O14" s="23">
        <f>(4791/$O$3)*100</f>
        <v>12.45159445902747</v>
      </c>
      <c r="P14" s="15">
        <f>(4748/$P$3)*100</f>
        <v>12.350431796899386</v>
      </c>
      <c r="Q14" s="15">
        <v>12.75</v>
      </c>
    </row>
    <row r="15" spans="1:17" ht="16.5">
      <c r="A15" s="5" t="s">
        <v>13</v>
      </c>
      <c r="B15" s="6">
        <v>7.7216588010844465</v>
      </c>
      <c r="C15" s="6">
        <v>7.916181606519208</v>
      </c>
      <c r="D15" s="6">
        <v>7.383664358079102</v>
      </c>
      <c r="E15" s="6">
        <v>7.4</v>
      </c>
      <c r="F15" s="6">
        <f>(2642/36254)*100</f>
        <v>7.287471727257682</v>
      </c>
      <c r="G15" s="6">
        <v>7.5</v>
      </c>
      <c r="H15" s="6">
        <v>7.4</v>
      </c>
      <c r="I15" s="6">
        <v>7.2</v>
      </c>
      <c r="J15" s="14">
        <v>7.3</v>
      </c>
      <c r="K15" s="15">
        <f>(2826/$K$3)*100</f>
        <v>7.609046849757674</v>
      </c>
      <c r="L15" s="15">
        <f>(3018/$L$3)*100</f>
        <v>8.04242391941587</v>
      </c>
      <c r="M15" s="15">
        <f>(2886/$M$3)*100</f>
        <v>7.622418255770958</v>
      </c>
      <c r="N15" s="15">
        <f>(3108/$N$3)*100</f>
        <v>8.074614845028707</v>
      </c>
      <c r="O15" s="23">
        <f>(2996/$O$3)*100</f>
        <v>7.786469839124672</v>
      </c>
      <c r="P15" s="15">
        <f>(3037/$P$3)*100</f>
        <v>7.8998023098532935</v>
      </c>
      <c r="Q15" s="15">
        <v>8.06</v>
      </c>
    </row>
    <row r="16" spans="1:17" ht="16.5">
      <c r="A16" s="5" t="s">
        <v>14</v>
      </c>
      <c r="B16" s="6">
        <v>8.557586103022393</v>
      </c>
      <c r="C16" s="6">
        <v>8.55781465738961</v>
      </c>
      <c r="D16" s="6">
        <v>8.471180813920212</v>
      </c>
      <c r="E16" s="6">
        <v>8.856903297931805</v>
      </c>
      <c r="F16" s="6">
        <f>(3387/36254)*100</f>
        <v>9.342417388426105</v>
      </c>
      <c r="G16" s="6">
        <v>9.2</v>
      </c>
      <c r="H16" s="6">
        <v>9.5</v>
      </c>
      <c r="I16" s="6">
        <v>9.9</v>
      </c>
      <c r="J16" s="14">
        <v>9.7</v>
      </c>
      <c r="K16" s="15">
        <f>(3751/$K$3)*100</f>
        <v>10.099623047926762</v>
      </c>
      <c r="L16" s="15">
        <f>(3711/$L$3)*100</f>
        <v>9.889143527154506</v>
      </c>
      <c r="M16" s="15">
        <f>(3713/$M$3)*100</f>
        <v>9.806666314510592</v>
      </c>
      <c r="N16" s="15">
        <f>(3715/$N$3)*100</f>
        <v>9.651606869138242</v>
      </c>
      <c r="O16" s="23">
        <f>(3748/$O$3)*100</f>
        <v>9.740884164565845</v>
      </c>
      <c r="P16" s="35">
        <v>9.67</v>
      </c>
      <c r="Q16" s="15">
        <v>9.91</v>
      </c>
    </row>
    <row r="17" spans="1:17" ht="16.5">
      <c r="A17" s="5" t="s">
        <v>15</v>
      </c>
      <c r="B17" s="6">
        <v>8.5</v>
      </c>
      <c r="C17" s="6">
        <v>8.617375531310069</v>
      </c>
      <c r="D17" s="6">
        <v>8.808883292312975</v>
      </c>
      <c r="E17" s="6">
        <v>9.720514253773057</v>
      </c>
      <c r="F17" s="6">
        <f>(3477/36254)*100</f>
        <v>9.590665857560545</v>
      </c>
      <c r="G17" s="6">
        <v>9.4</v>
      </c>
      <c r="H17" s="6">
        <v>9.7</v>
      </c>
      <c r="I17" s="14">
        <v>9.9</v>
      </c>
      <c r="J17" s="14">
        <v>10.2</v>
      </c>
      <c r="K17" s="15">
        <f>(3733/$K$3)*100</f>
        <v>10.051157781367797</v>
      </c>
      <c r="L17" s="15">
        <f>(3714/$L$3)*100</f>
        <v>9.897137984330865</v>
      </c>
      <c r="M17" s="15">
        <f>(3803/$M$3)*100</f>
        <v>10.044371665522158</v>
      </c>
      <c r="N17" s="15">
        <f>(3726/$N$3)*100</f>
        <v>9.680184978306619</v>
      </c>
      <c r="O17" s="23">
        <f>(3797/$O$3)*100</f>
        <v>9.86823297034592</v>
      </c>
      <c r="P17" s="15">
        <f>(3801/$P$3)*100</f>
        <v>9.887108521485798</v>
      </c>
      <c r="Q17" s="15">
        <v>9.54</v>
      </c>
    </row>
    <row r="18" spans="1:17" ht="16.5">
      <c r="A18" s="5" t="s">
        <v>16</v>
      </c>
      <c r="B18" s="6">
        <v>11.6</v>
      </c>
      <c r="C18" s="6">
        <v>11.7</v>
      </c>
      <c r="D18" s="6">
        <v>12.432030221509931</v>
      </c>
      <c r="E18" s="6">
        <v>12.512576858580212</v>
      </c>
      <c r="F18" s="6">
        <f>(4763/36254)*100</f>
        <v>13.137860649859325</v>
      </c>
      <c r="G18" s="6">
        <v>12.9</v>
      </c>
      <c r="H18" s="6">
        <v>12.7</v>
      </c>
      <c r="I18" s="6">
        <v>13.3</v>
      </c>
      <c r="J18" s="14">
        <v>13.4</v>
      </c>
      <c r="K18" s="15">
        <f>(4909/$K$3)*100</f>
        <v>13.217555196553581</v>
      </c>
      <c r="L18" s="15">
        <f>(4902/$L$3)*100</f>
        <v>13.062943026168522</v>
      </c>
      <c r="M18" s="15">
        <f>(5003/$M$3)*100</f>
        <v>13.213776345676404</v>
      </c>
      <c r="N18" s="15">
        <f>(5050/$N$3)*100</f>
        <v>13.11995011820945</v>
      </c>
      <c r="O18" s="23">
        <f>(5045/$O$3)*100</f>
        <v>13.111729084907866</v>
      </c>
      <c r="P18" s="15">
        <f>(5095/$P$3)*100</f>
        <v>13.25304338778483</v>
      </c>
      <c r="Q18" s="15">
        <v>12.93</v>
      </c>
    </row>
    <row r="19" spans="1:17" ht="16.5">
      <c r="A19" s="5" t="s">
        <v>17</v>
      </c>
      <c r="B19" s="6">
        <v>15.7</v>
      </c>
      <c r="C19" s="6">
        <v>15.67533909088448</v>
      </c>
      <c r="D19" s="6">
        <v>16.00080132791483</v>
      </c>
      <c r="E19" s="6">
        <v>15.953046394633875</v>
      </c>
      <c r="F19" s="6">
        <f>(6029/36254)*100</f>
        <v>16.629889115683785</v>
      </c>
      <c r="G19" s="6">
        <v>16.8</v>
      </c>
      <c r="H19" s="6">
        <v>16.9</v>
      </c>
      <c r="I19" s="6">
        <v>16.6</v>
      </c>
      <c r="J19" s="14">
        <v>16.8</v>
      </c>
      <c r="K19" s="15">
        <f>(6248/$K$3)*100</f>
        <v>16.82283252557889</v>
      </c>
      <c r="L19" s="15">
        <f>(6257/$L$3)*100</f>
        <v>16.67377285082343</v>
      </c>
      <c r="M19" s="15">
        <f>(6274/$M$3)*100</f>
        <v>16.570704136073108</v>
      </c>
      <c r="N19" s="15">
        <f>(6148/$N$3)*100</f>
        <v>15.97256501519836</v>
      </c>
      <c r="O19" s="23">
        <f>(6403/$O$3)*100</f>
        <v>16.641110273669984</v>
      </c>
      <c r="P19" s="35">
        <v>16.29</v>
      </c>
      <c r="Q19" s="15">
        <v>16.54</v>
      </c>
    </row>
    <row r="20" spans="1:17" ht="16.5">
      <c r="A20" s="5" t="s">
        <v>18</v>
      </c>
      <c r="B20" s="6">
        <v>15.6</v>
      </c>
      <c r="C20" s="6">
        <v>15.615778216964019</v>
      </c>
      <c r="D20" s="6">
        <v>16.47015053517257</v>
      </c>
      <c r="E20" s="6">
        <v>16.2157629960872</v>
      </c>
      <c r="F20" s="6">
        <f>(5684/36254)*100</f>
        <v>15.678269984001766</v>
      </c>
      <c r="G20" s="6">
        <v>15.9</v>
      </c>
      <c r="H20" s="6">
        <v>15.7</v>
      </c>
      <c r="I20" s="6">
        <v>15.9</v>
      </c>
      <c r="J20" s="14">
        <v>15.6</v>
      </c>
      <c r="K20" s="15">
        <f>(5706/$K$3)*100</f>
        <v>15.363489499192246</v>
      </c>
      <c r="L20" s="15">
        <f>(5758/$L$3)*100</f>
        <v>15.344028140489261</v>
      </c>
      <c r="M20" s="15">
        <f>(5829/$M$3)*100</f>
        <v>15.395383233849241</v>
      </c>
      <c r="N20" s="15">
        <f>(5943/$N$3)*100</f>
        <v>15.439972980696787</v>
      </c>
      <c r="O20" s="23">
        <f>(5901/$O$3)*100</f>
        <v>15.336434753229202</v>
      </c>
      <c r="P20" s="35">
        <v>15.69</v>
      </c>
      <c r="Q20" s="15">
        <v>15.69</v>
      </c>
    </row>
    <row r="21" spans="1:17" ht="16.5">
      <c r="A21" s="5" t="s">
        <v>19</v>
      </c>
      <c r="B21" s="6">
        <v>15.922783411989155</v>
      </c>
      <c r="C21" s="6">
        <v>15.756558464412379</v>
      </c>
      <c r="D21" s="6">
        <v>15.333982027359625</v>
      </c>
      <c r="E21" s="6">
        <v>14.678591391839015</v>
      </c>
      <c r="F21" s="6">
        <f>(5188/36254)*100</f>
        <v>14.310145087438627</v>
      </c>
      <c r="G21" s="6">
        <v>14.6</v>
      </c>
      <c r="H21" s="6">
        <v>14.6</v>
      </c>
      <c r="I21" s="6">
        <v>14.1</v>
      </c>
      <c r="J21" s="14">
        <v>13.8</v>
      </c>
      <c r="K21" s="15">
        <f>(5115/$K$3)*100</f>
        <v>13.77221324717286</v>
      </c>
      <c r="L21" s="15">
        <f>(5154/$L$3)*100</f>
        <v>13.734477428982572</v>
      </c>
      <c r="M21" s="15">
        <f>(5327/$M$3)*100</f>
        <v>14.069515609318051</v>
      </c>
      <c r="N21" s="15">
        <f>(5421/$N$3)*100</f>
        <v>14.083811800161078</v>
      </c>
      <c r="O21" s="23">
        <f>(5393/$O$3)*100</f>
        <v>14.016165501468409</v>
      </c>
      <c r="P21" s="15">
        <f>(5288/$P$3)*100</f>
        <v>13.755072312974717</v>
      </c>
      <c r="Q21" s="15">
        <v>13.78</v>
      </c>
    </row>
    <row r="22" spans="1:17" ht="16.5">
      <c r="A22" s="5" t="s">
        <v>11</v>
      </c>
      <c r="B22" s="6">
        <v>0.8032935033637915</v>
      </c>
      <c r="C22" s="6">
        <v>0.8446814846901481</v>
      </c>
      <c r="D22" s="6">
        <v>0.781294716959533</v>
      </c>
      <c r="E22" s="6">
        <v>0.7518166573504751</v>
      </c>
      <c r="F22" s="31">
        <v>0.8</v>
      </c>
      <c r="G22" s="6">
        <v>0.9</v>
      </c>
      <c r="H22" s="6">
        <v>0.9</v>
      </c>
      <c r="I22" s="6">
        <v>0.9</v>
      </c>
      <c r="J22" s="14">
        <v>0.9</v>
      </c>
      <c r="K22" s="15">
        <f>(314/$K$3)*100</f>
        <v>0.8454496499730748</v>
      </c>
      <c r="L22" s="15">
        <f>(335/$L$3)*100</f>
        <v>0.8927143846932794</v>
      </c>
      <c r="M22" s="15">
        <f>(295/$M$3)*100</f>
        <v>0.7791453172045851</v>
      </c>
      <c r="N22" s="15">
        <f>(329/$N$3)*100</f>
        <v>0.8547452651269127</v>
      </c>
      <c r="O22" s="23">
        <f>(402/$O$3)*100</f>
        <v>1.044779998440627</v>
      </c>
      <c r="P22" s="15">
        <f>(350/$P$3)*100</f>
        <v>0.9104151493080845</v>
      </c>
      <c r="Q22" s="15">
        <v>0.79</v>
      </c>
    </row>
    <row r="23" spans="1:17" ht="16.5">
      <c r="A23" s="2" t="s">
        <v>2</v>
      </c>
      <c r="B23" s="4"/>
      <c r="C23" s="6"/>
      <c r="D23" s="6"/>
      <c r="E23" s="6"/>
      <c r="F23" s="6"/>
      <c r="G23" s="6"/>
      <c r="H23" s="6"/>
      <c r="I23" s="6"/>
      <c r="J23" s="14"/>
      <c r="K23" s="14"/>
      <c r="L23" s="14"/>
      <c r="M23" s="14"/>
      <c r="N23" s="14"/>
      <c r="O23" s="14"/>
      <c r="P23" s="14"/>
      <c r="Q23" s="14"/>
    </row>
    <row r="24" spans="1:17" ht="16.5">
      <c r="A24" s="5" t="s">
        <v>20</v>
      </c>
      <c r="B24" s="6">
        <v>86.70047193493322</v>
      </c>
      <c r="C24" s="6">
        <v>86.73416899044318</v>
      </c>
      <c r="D24" s="6">
        <v>85.7</v>
      </c>
      <c r="E24" s="6">
        <v>87</v>
      </c>
      <c r="F24" s="6">
        <v>87.3</v>
      </c>
      <c r="G24" s="6">
        <v>86.7</v>
      </c>
      <c r="H24" s="6">
        <v>86.3</v>
      </c>
      <c r="I24" s="6">
        <v>86.4</v>
      </c>
      <c r="J24" s="7">
        <v>87.2</v>
      </c>
      <c r="K24" s="23">
        <f>(33063/$K$3)*100</f>
        <v>89.02261712439419</v>
      </c>
      <c r="L24" s="23">
        <f>(33010/$L$3)*100</f>
        <v>87.96567713052283</v>
      </c>
      <c r="M24" s="23">
        <f>(33453/$M$3)*100</f>
        <v>88.35507897099994</v>
      </c>
      <c r="N24" s="23">
        <f>(33882/$N$3)*100</f>
        <v>88.02577225845003</v>
      </c>
      <c r="O24" s="23">
        <f>(33581/$O$3)*100</f>
        <v>87.27551524287237</v>
      </c>
      <c r="P24" s="35">
        <v>87.0201</v>
      </c>
      <c r="Q24" s="15">
        <v>87.94</v>
      </c>
    </row>
    <row r="25" spans="1:17" ht="16.5">
      <c r="A25" s="5" t="s">
        <v>21</v>
      </c>
      <c r="B25" s="6">
        <v>9.340797268802088</v>
      </c>
      <c r="C25" s="6">
        <v>9.047838211007933</v>
      </c>
      <c r="D25" s="6">
        <v>10.016598935378628</v>
      </c>
      <c r="E25" s="6">
        <v>8.711570709893795</v>
      </c>
      <c r="F25" s="6">
        <f>(3016/36254)*100</f>
        <v>8.319082032327467</v>
      </c>
      <c r="G25" s="6">
        <v>8.6</v>
      </c>
      <c r="H25" s="6">
        <v>8.4</v>
      </c>
      <c r="I25" s="6">
        <v>8.8</v>
      </c>
      <c r="J25" s="14">
        <v>8.8</v>
      </c>
      <c r="K25" s="23">
        <f>(2724/$K$3)*100</f>
        <v>7.334410339256866</v>
      </c>
      <c r="L25" s="23">
        <f>(2654/$L$3)*100</f>
        <v>7.072429782017801</v>
      </c>
      <c r="M25" s="23">
        <f>(2839/$M$3)*100</f>
        <v>7.498283239131583</v>
      </c>
      <c r="N25" s="15">
        <f>(3014/$N$3)*100</f>
        <v>7.830401912135304</v>
      </c>
      <c r="O25" s="23">
        <f>(2983/$O$3)*100</f>
        <v>7.752683421264652</v>
      </c>
      <c r="P25" s="35">
        <v>8.316</v>
      </c>
      <c r="Q25" s="15">
        <v>7.44</v>
      </c>
    </row>
    <row r="26" spans="1:17" ht="16.5">
      <c r="A26" s="5" t="s">
        <v>22</v>
      </c>
      <c r="B26" s="6">
        <v>1.6166281755196306</v>
      </c>
      <c r="C26" s="6">
        <v>1.851801716436094</v>
      </c>
      <c r="D26" s="6">
        <v>1.9718390475645355</v>
      </c>
      <c r="E26" s="6">
        <v>2.219116825041923</v>
      </c>
      <c r="F26" s="6">
        <f>(664/36254)*100</f>
        <v>1.8315220389474265</v>
      </c>
      <c r="G26" s="6">
        <v>2.4</v>
      </c>
      <c r="H26" s="6">
        <v>2.7</v>
      </c>
      <c r="I26" s="6">
        <v>2.5</v>
      </c>
      <c r="J26" s="7">
        <v>1.7</v>
      </c>
      <c r="K26" s="23">
        <f>(604/$K$3)*100</f>
        <v>1.626278944534195</v>
      </c>
      <c r="L26" s="23">
        <f>(881/$L$3)*100</f>
        <v>2.3477055907903854</v>
      </c>
      <c r="M26" s="15">
        <f>(693/$M$3)*100</f>
        <v>1.8303312027890761</v>
      </c>
      <c r="N26" s="15">
        <f>(734/$N$3)*100</f>
        <v>1.906939284508067</v>
      </c>
      <c r="O26" s="23">
        <f>(862/$O$3)*100</f>
        <v>2.2402993996413443</v>
      </c>
      <c r="P26" s="15">
        <f>(750/$P$3)*100</f>
        <v>1.9508896056601812</v>
      </c>
      <c r="Q26" s="15">
        <v>1.97</v>
      </c>
    </row>
    <row r="27" spans="1:17" ht="16.5">
      <c r="A27" s="5" t="s">
        <v>23</v>
      </c>
      <c r="B27" s="6">
        <v>2.3421026207450546</v>
      </c>
      <c r="C27" s="6">
        <v>2.3661910821127865</v>
      </c>
      <c r="D27" s="6">
        <v>2.335298494648274</v>
      </c>
      <c r="E27" s="6">
        <v>2.1</v>
      </c>
      <c r="F27" s="6">
        <v>2.5</v>
      </c>
      <c r="G27" s="6">
        <v>2.3</v>
      </c>
      <c r="H27" s="6">
        <v>2.6</v>
      </c>
      <c r="I27" s="6">
        <v>2.3</v>
      </c>
      <c r="J27" s="7">
        <v>2.3</v>
      </c>
      <c r="K27" s="23">
        <f>(749/$K$3)*100</f>
        <v>2.016693591814755</v>
      </c>
      <c r="L27" s="23">
        <f>(981/$L$3)*100</f>
        <v>2.614187496668976</v>
      </c>
      <c r="M27" s="23">
        <f>(877/$M$3)*100</f>
        <v>2.3163065870793935</v>
      </c>
      <c r="N27" s="23">
        <f>(861/$N$3)*100</f>
        <v>2.2368865449066013</v>
      </c>
      <c r="O27" s="23">
        <f>(1051/$O$3)*100</f>
        <v>2.7315019362216386</v>
      </c>
      <c r="P27" s="35">
        <v>2.7156</v>
      </c>
      <c r="Q27" s="15">
        <v>2.66</v>
      </c>
    </row>
    <row r="28" spans="1:17" ht="16.5">
      <c r="A28" s="2" t="s">
        <v>3</v>
      </c>
      <c r="B28" s="6"/>
      <c r="C28" s="6"/>
      <c r="D28" s="6"/>
      <c r="E28" s="6"/>
      <c r="F28" s="6"/>
      <c r="G28" s="6"/>
      <c r="H28" s="6"/>
      <c r="I28" s="6"/>
      <c r="J28" s="14"/>
      <c r="K28" s="14"/>
      <c r="L28" s="14"/>
      <c r="M28" s="14"/>
      <c r="N28" s="14"/>
      <c r="O28" s="14"/>
      <c r="P28" s="14"/>
      <c r="Q28" s="14"/>
    </row>
    <row r="29" spans="1:17" ht="16.5">
      <c r="A29" s="5" t="s">
        <v>24</v>
      </c>
      <c r="B29" s="6">
        <v>44.96937443518426</v>
      </c>
      <c r="C29" s="6">
        <v>45.41516636435011</v>
      </c>
      <c r="D29" s="6">
        <v>46.02484116535974</v>
      </c>
      <c r="E29" s="6">
        <v>47.65790944661823</v>
      </c>
      <c r="F29" s="6">
        <v>49.5</v>
      </c>
      <c r="G29" s="6">
        <v>48.7</v>
      </c>
      <c r="H29" s="6">
        <v>49.3</v>
      </c>
      <c r="I29" s="6">
        <v>50.3</v>
      </c>
      <c r="J29" s="7">
        <v>50.5</v>
      </c>
      <c r="K29" s="16">
        <f>(18835/$K$3)*100</f>
        <v>50.713516424340334</v>
      </c>
      <c r="L29" s="16">
        <f>(18939/$L$3)*100</f>
        <v>50.46900815434632</v>
      </c>
      <c r="M29" s="26">
        <f>(19221/$M$3)*100</f>
        <v>50.76593946437061</v>
      </c>
      <c r="N29" s="26">
        <f>(18937/$N$3)*100</f>
        <v>49.198513938323245</v>
      </c>
      <c r="O29" s="26">
        <f>(19330/$O$3)*100</f>
        <v>50.23780440263014</v>
      </c>
      <c r="P29" s="25">
        <v>49.97</v>
      </c>
      <c r="Q29" s="16">
        <v>49.4</v>
      </c>
    </row>
    <row r="30" spans="1:17" ht="16.5">
      <c r="A30" s="5" t="s">
        <v>25</v>
      </c>
      <c r="B30" s="6">
        <v>17.69253941158751</v>
      </c>
      <c r="C30" s="6">
        <v>17.370116685166632</v>
      </c>
      <c r="D30" s="6">
        <v>17.354473126896</v>
      </c>
      <c r="E30" s="6">
        <v>16.4</v>
      </c>
      <c r="F30" s="6">
        <f>(5640/36254)*100</f>
        <v>15.556904065758262</v>
      </c>
      <c r="G30" s="6">
        <v>16</v>
      </c>
      <c r="H30" s="6">
        <v>15.9</v>
      </c>
      <c r="I30" s="6">
        <v>15.6</v>
      </c>
      <c r="J30" s="7">
        <v>14.9</v>
      </c>
      <c r="K30" s="16">
        <f>(5564/$K$3)*100</f>
        <v>14.98115239633818</v>
      </c>
      <c r="L30" s="16">
        <f>(5976/$L$3)*100</f>
        <v>15.92495869530459</v>
      </c>
      <c r="M30" s="26">
        <f>(5955/$M$3)*100</f>
        <v>15.72817072526544</v>
      </c>
      <c r="N30" s="26">
        <f>(6187/$N$3)*100</f>
        <v>16.073887402249877</v>
      </c>
      <c r="O30" s="26">
        <f>(6054/$O$3)*100</f>
        <v>15.734074901889441</v>
      </c>
      <c r="P30" s="25">
        <v>15.84</v>
      </c>
      <c r="Q30" s="16">
        <v>15.71</v>
      </c>
    </row>
    <row r="31" spans="1:17" ht="16.5">
      <c r="A31" s="5" t="s">
        <v>26</v>
      </c>
      <c r="B31" s="6">
        <v>32.6915352947083</v>
      </c>
      <c r="C31" s="6">
        <v>33.02921190134553</v>
      </c>
      <c r="D31" s="6">
        <v>32.38509530078416</v>
      </c>
      <c r="E31" s="6">
        <v>31.5</v>
      </c>
      <c r="F31" s="6">
        <v>30.3</v>
      </c>
      <c r="G31" s="6">
        <v>30.7</v>
      </c>
      <c r="H31" s="6">
        <v>30.3</v>
      </c>
      <c r="I31" s="6">
        <v>29.5</v>
      </c>
      <c r="J31" s="15">
        <v>30</v>
      </c>
      <c r="K31" s="16">
        <f>(11032/$K$3)*100</f>
        <v>29.70382337102854</v>
      </c>
      <c r="L31" s="16">
        <f>(10946/$L$3)*100</f>
        <v>29.16910941747055</v>
      </c>
      <c r="M31" s="16">
        <f>(10993/$M$3)*100</f>
        <v>29.034388040779675</v>
      </c>
      <c r="N31" s="26">
        <f>(11632/$N$3)*100</f>
        <v>30.220051440596503</v>
      </c>
      <c r="O31" s="26">
        <f>(11423/$O$3)*100</f>
        <v>29.687865478077814</v>
      </c>
      <c r="P31" s="25">
        <v>29.6</v>
      </c>
      <c r="Q31" s="16">
        <v>30.03</v>
      </c>
    </row>
    <row r="32" spans="1:17" ht="16.5">
      <c r="A32" s="5" t="s">
        <v>27</v>
      </c>
      <c r="B32" s="6">
        <v>4.187167386283763</v>
      </c>
      <c r="C32" s="6">
        <v>3.9201884289465845</v>
      </c>
      <c r="D32" s="6">
        <v>3.9093354702077727</v>
      </c>
      <c r="E32" s="6">
        <v>4.200670765790945</v>
      </c>
      <c r="F32" s="6">
        <v>4.2</v>
      </c>
      <c r="G32" s="6">
        <v>4.2</v>
      </c>
      <c r="H32" s="6">
        <v>4.2</v>
      </c>
      <c r="I32" s="6">
        <v>4.2</v>
      </c>
      <c r="J32" s="14">
        <v>4.3</v>
      </c>
      <c r="K32" s="16">
        <f>(1588/$K$3)*100</f>
        <v>4.27571351642434</v>
      </c>
      <c r="L32" s="16">
        <f>(1533/$L$3)*100</f>
        <v>4.085167617118798</v>
      </c>
      <c r="M32" s="16">
        <f>(1544/$M$3)*100</f>
        <v>4.077967355131794</v>
      </c>
      <c r="N32" s="26">
        <f>(1558/$N$3)*100</f>
        <v>4.047699462211946</v>
      </c>
      <c r="O32" s="26">
        <f>(1492/$O$3)*100</f>
        <v>3.8776411882423263</v>
      </c>
      <c r="P32" s="16">
        <f>(1567/$P$3)*100</f>
        <v>4.076058682759339</v>
      </c>
      <c r="Q32" s="16">
        <v>4.11</v>
      </c>
    </row>
    <row r="33" spans="1:17" ht="17.25" thickBot="1">
      <c r="A33" s="9" t="s">
        <v>11</v>
      </c>
      <c r="B33" s="10">
        <v>0.3162968169494929</v>
      </c>
      <c r="C33" s="10">
        <v>0.2653166201911362</v>
      </c>
      <c r="D33" s="10">
        <v>0.2861885410108179</v>
      </c>
      <c r="E33" s="10">
        <v>0.2</v>
      </c>
      <c r="F33" s="10">
        <v>0.3</v>
      </c>
      <c r="G33" s="10">
        <v>0.4</v>
      </c>
      <c r="H33" s="10">
        <v>0.3</v>
      </c>
      <c r="I33" s="10">
        <v>0.4</v>
      </c>
      <c r="J33" s="11">
        <v>0.3</v>
      </c>
      <c r="K33" s="18">
        <f>(121/$K$3)*100</f>
        <v>0.32579429186860526</v>
      </c>
      <c r="L33" s="33">
        <f>(132/$L$3)*100</f>
        <v>0.3517561157597399</v>
      </c>
      <c r="M33" s="33">
        <f>(149/$M$3)*100</f>
        <v>0.3935344144524853</v>
      </c>
      <c r="N33" s="33">
        <f>(177/$N$3)*100</f>
        <v>0.45984775661843025</v>
      </c>
      <c r="O33" s="33">
        <f>(178/$O$3)*100</f>
        <v>0.46261402916027755</v>
      </c>
      <c r="P33" s="37">
        <v>0.4422</v>
      </c>
      <c r="Q33" s="18">
        <v>0.74</v>
      </c>
    </row>
    <row r="34" spans="1:16" ht="13.5" customHeight="1">
      <c r="A34" s="42" t="s">
        <v>46</v>
      </c>
      <c r="B34" s="43"/>
      <c r="C34" s="43"/>
      <c r="D34" s="43"/>
      <c r="E34" s="43"/>
      <c r="F34" s="43"/>
      <c r="G34" s="43"/>
      <c r="H34" s="27"/>
      <c r="I34" s="27"/>
      <c r="J34" s="28"/>
      <c r="K34" s="16"/>
      <c r="L34" s="26"/>
      <c r="M34" s="26"/>
      <c r="N34" s="26"/>
      <c r="O34" s="25"/>
      <c r="P34" s="16"/>
    </row>
    <row r="35" spans="1:10" ht="12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2.75" customHeight="1">
      <c r="A36" s="44" t="s">
        <v>41</v>
      </c>
      <c r="B36" s="44"/>
      <c r="C36" s="44"/>
      <c r="D36" s="44"/>
      <c r="E36" s="44"/>
      <c r="F36" s="44"/>
      <c r="G36" s="44"/>
      <c r="H36" s="12"/>
      <c r="I36" s="12"/>
      <c r="J36" s="12"/>
    </row>
    <row r="37" spans="1:14" ht="24.75" customHeight="1">
      <c r="A37" s="45" t="s">
        <v>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24"/>
      <c r="N37" s="24"/>
    </row>
  </sheetData>
  <mergeCells count="4">
    <mergeCell ref="A36:G36"/>
    <mergeCell ref="A37:L37"/>
    <mergeCell ref="A34:G34"/>
    <mergeCell ref="A1:Q1"/>
  </mergeCells>
  <printOptions/>
  <pageMargins left="0.5" right="0.5" top="0.5" bottom="0.5" header="0.25" footer="0.2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2007-12-04T15:20:12Z</cp:lastPrinted>
  <dcterms:created xsi:type="dcterms:W3CDTF">1999-04-12T15:28:45Z</dcterms:created>
  <dcterms:modified xsi:type="dcterms:W3CDTF">2007-12-27T16:13:16Z</dcterms:modified>
  <cp:category/>
  <cp:version/>
  <cp:contentType/>
  <cp:contentStatus/>
</cp:coreProperties>
</file>