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681" yWindow="65446" windowWidth="11295" windowHeight="5985" tabRatio="860" activeTab="0"/>
  </bookViews>
  <sheets>
    <sheet name="Instructions" sheetId="1" r:id="rId1"/>
    <sheet name="PART Qs &amp; Section Scoring" sheetId="2" r:id="rId2"/>
    <sheet name="Measures" sheetId="3" r:id="rId3"/>
    <sheet name="Account Info" sheetId="4" r:id="rId4"/>
    <sheet name="Program Summary" sheetId="5" r:id="rId5"/>
    <sheet name="Type-Specific Questions" sheetId="6" state="hidden" r:id="rId6"/>
    <sheet name="Drop Down Lists" sheetId="7" state="hidden" r:id="rId7"/>
    <sheet name="Answer Summary" sheetId="8" state="hidden" r:id="rId8"/>
  </sheets>
  <definedNames>
    <definedName name="_1.RD1">'Type-Specific Questions'!#REF!</definedName>
    <definedName name="_1.RD2">'Type-Specific Questions'!#REF!</definedName>
    <definedName name="_2.CA1">'Type-Specific Questions'!#REF!</definedName>
    <definedName name="_2.CA2">'Type-Specific Questions'!$A$4:$H$4</definedName>
    <definedName name="_2.RD1">'Type-Specific Questions'!$A$18:$H$18</definedName>
    <definedName name="_2.RD2">'Type-Specific Questions'!#REF!</definedName>
    <definedName name="_2.RG1">'Type-Specific Questions'!$A$12:$H$12</definedName>
    <definedName name="_3.BF1">'Type-Specific Questions'!$A$2:$H$2</definedName>
    <definedName name="_3.BF2">'Type-Specific Questions'!$A$3:$H$3</definedName>
    <definedName name="_3.CA1">'Type-Specific Questions'!$A$5:$H$5</definedName>
    <definedName name="_3.CA2">'Type-Specific Questions'!#REF!</definedName>
    <definedName name="_3.CA3">'Type-Specific Questions'!#REF!</definedName>
    <definedName name="_3.CA4">'Type-Specific Questions'!#REF!</definedName>
    <definedName name="_3.CO1">'Type-Specific Questions'!$A$7:$H$7</definedName>
    <definedName name="_3.CO2">'Type-Specific Questions'!#REF!</definedName>
    <definedName name="_3.CO3">'Type-Specific Questions'!$A$8:$H$8</definedName>
    <definedName name="_3.CO4">'Type-Specific Questions'!$A$9:$H$9</definedName>
    <definedName name="_3.CR1">'Type-Specific Questions'!$A$10:$H$10</definedName>
    <definedName name="_3.CR2">'Type-Specific Questions'!$A$11:$H$11</definedName>
    <definedName name="_3.CR3">'Type-Specific Questions'!#REF!</definedName>
    <definedName name="_3.RD1">'Type-Specific Questions'!#REF!</definedName>
    <definedName name="_3.RD2">'Type-Specific Questions'!#REF!</definedName>
    <definedName name="_3.RD3">'Type-Specific Questions'!#REF!</definedName>
    <definedName name="_3.RD4">'Type-Specific Questions'!#REF!</definedName>
    <definedName name="_3.RG1">'Type-Specific Questions'!$A$13:$H$13</definedName>
    <definedName name="_3.RG2">'Type-Specific Questions'!$A$14:$H$14</definedName>
    <definedName name="_3.RG3">'Type-Specific Questions'!$A$15:$H$15</definedName>
    <definedName name="_3.RG4">'Type-Specific Questions'!$A$16:$H$16</definedName>
    <definedName name="_3.RG5">'Type-Specific Questions'!#REF!</definedName>
    <definedName name="_3.RG6">'Type-Specific Questions'!#REF!</definedName>
    <definedName name="_4.CA1">'Type-Specific Questions'!$A$6:$H$6</definedName>
    <definedName name="_4.RD1">'Type-Specific Questions'!#REF!</definedName>
    <definedName name="_4.RG1">'Type-Specific Questions'!$A$17:$H$17</definedName>
    <definedName name="Accounts">'Type-Specific Questions'!$D$52:$D$1372</definedName>
    <definedName name="Agencies">'Type-Specific Questions'!$A$52:$A$189</definedName>
    <definedName name="Agency_Name">'PART Qs &amp; Section Scoring'!$C$7</definedName>
    <definedName name="Ans_1.1">'PART Qs &amp; Section Scoring'!$D$12</definedName>
    <definedName name="Ans_1.2">'PART Qs &amp; Section Scoring'!$D$13</definedName>
    <definedName name="Ans_1.3">'PART Qs &amp; Section Scoring'!$D$14</definedName>
    <definedName name="Ans_1.4">'PART Qs &amp; Section Scoring'!$D$15</definedName>
    <definedName name="Ans_1.5">'PART Qs &amp; Section Scoring'!$D$16</definedName>
    <definedName name="Ans_2.1">'PART Qs &amp; Section Scoring'!$D$22</definedName>
    <definedName name="Ans_2.10">'PART Qs &amp; Section Scoring'!#REF!</definedName>
    <definedName name="Ans_2.2">'PART Qs &amp; Section Scoring'!$D$23</definedName>
    <definedName name="Ans_2.3">'PART Qs &amp; Section Scoring'!$D$24</definedName>
    <definedName name="Ans_2.31">'PART Qs &amp; Section Scoring'!#REF!</definedName>
    <definedName name="Ans_2.4">'PART Qs &amp; Section Scoring'!$D$25</definedName>
    <definedName name="Ans_2.5">'PART Qs &amp; Section Scoring'!$D$27</definedName>
    <definedName name="Ans_2.6">'PART Qs &amp; Section Scoring'!$D$28</definedName>
    <definedName name="Ans_2.7">'PART Qs &amp; Section Scoring'!$D$29</definedName>
    <definedName name="Ans_2.8">'PART Qs &amp; Section Scoring'!$D$30</definedName>
    <definedName name="Ans_2.9">'PART Qs &amp; Section Scoring'!#REF!</definedName>
    <definedName name="Ans_3.1">'PART Qs &amp; Section Scoring'!$D$36</definedName>
    <definedName name="Ans_3.2">'PART Qs &amp; Section Scoring'!$D$37</definedName>
    <definedName name="Ans_3.3">'PART Qs &amp; Section Scoring'!$D$38</definedName>
    <definedName name="Ans_3.4">'PART Qs &amp; Section Scoring'!$D$39</definedName>
    <definedName name="Ans_3.5">'PART Qs &amp; Section Scoring'!$D$40</definedName>
    <definedName name="Ans_3.6">'PART Qs &amp; Section Scoring'!$D$41</definedName>
    <definedName name="Ans_3.7">'PART Qs &amp; Section Scoring'!$D$42</definedName>
    <definedName name="Ans_4.1">'PART Qs &amp; Section Scoring'!$D$50</definedName>
    <definedName name="Ans_4.2">'PART Qs &amp; Section Scoring'!$D$51</definedName>
    <definedName name="Ans_4.3">'PART Qs &amp; Section Scoring'!$D$52</definedName>
    <definedName name="Ans_4.4">'PART Qs &amp; Section Scoring'!$D$53</definedName>
    <definedName name="Ans_4.5">'PART Qs &amp; Section Scoring'!$D$54</definedName>
    <definedName name="Answers">'PART Qs &amp; Section Scoring'!$D$12:$D$55</definedName>
    <definedName name="Bureau_Name">'PART Qs &amp; Section Scoring'!$C$8</definedName>
    <definedName name="BY_Program_Funding_Level">'Account Info'!$E$12</definedName>
    <definedName name="Composition_Program_Funding_Level">'Account Info'!$I$12</definedName>
    <definedName name="CY_Program_Funding_Level">'Account Info'!$D$12</definedName>
    <definedName name="END_OF_FILE">'Measures'!$A$111</definedName>
    <definedName name="Evid_1.1">'PART Qs &amp; Section Scoring'!$F$12</definedName>
    <definedName name="Evid_1.2">'PART Qs &amp; Section Scoring'!$F$13</definedName>
    <definedName name="Evid_1.3">'PART Qs &amp; Section Scoring'!$F$14</definedName>
    <definedName name="Evid_1.4">'PART Qs &amp; Section Scoring'!$F$15</definedName>
    <definedName name="Evid_1.5">'PART Qs &amp; Section Scoring'!$F$16</definedName>
    <definedName name="Evid_2.1">'PART Qs &amp; Section Scoring'!$F$22</definedName>
    <definedName name="Evid_2.2">'PART Qs &amp; Section Scoring'!$F$24</definedName>
    <definedName name="Evid_2.3">'PART Qs &amp; Section Scoring'!$F$27</definedName>
    <definedName name="Evid_2.31">'PART Qs &amp; Section Scoring'!#REF!</definedName>
    <definedName name="Evid_2.4">'PART Qs &amp; Section Scoring'!$F$28</definedName>
    <definedName name="Evid_2.5">'PART Qs &amp; Section Scoring'!$F$29</definedName>
    <definedName name="Evid_2.6">'PART Qs &amp; Section Scoring'!$F$30</definedName>
    <definedName name="Evid_2.7">'PART Qs &amp; Section Scoring'!#REF!</definedName>
    <definedName name="Evid_3.1">'PART Qs &amp; Section Scoring'!$F$36</definedName>
    <definedName name="Evid_3.2">'PART Qs &amp; Section Scoring'!$F$37</definedName>
    <definedName name="Evid_3.3">'PART Qs &amp; Section Scoring'!$F$38</definedName>
    <definedName name="Evid_3.4">'PART Qs &amp; Section Scoring'!$F$39</definedName>
    <definedName name="Evid_3.5">'PART Qs &amp; Section Scoring'!$F$40</definedName>
    <definedName name="Evid_3.6">'PART Qs &amp; Section Scoring'!$F$41</definedName>
    <definedName name="Evid_3.7">'PART Qs &amp; Section Scoring'!$F$42</definedName>
    <definedName name="Evid_4.1">'PART Qs &amp; Section Scoring'!$F$50</definedName>
    <definedName name="Evid_4.2">'PART Qs &amp; Section Scoring'!$F$51</definedName>
    <definedName name="Evid_4.3">'PART Qs &amp; Section Scoring'!$F$52</definedName>
    <definedName name="Evid_4.4">'PART Qs &amp; Section Scoring'!$F$53</definedName>
    <definedName name="Evid_4.5">'PART Qs &amp; Section Scoring'!$F$54</definedName>
    <definedName name="Evidence_Data">'PART Qs &amp; Section Scoring'!$F$12:$F$55</definedName>
    <definedName name="Expl_1.1">'PART Qs &amp; Section Scoring'!$E$12</definedName>
    <definedName name="Expl_1.2">'PART Qs &amp; Section Scoring'!$E$13</definedName>
    <definedName name="Expl_1.3">'PART Qs &amp; Section Scoring'!$E$14</definedName>
    <definedName name="Expl_1.4">'PART Qs &amp; Section Scoring'!$E$15</definedName>
    <definedName name="Expl_1.5">'PART Qs &amp; Section Scoring'!$E$16</definedName>
    <definedName name="Expl_2.1">'PART Qs &amp; Section Scoring'!$E$22</definedName>
    <definedName name="Expl_2.10">'PART Qs &amp; Section Scoring'!#REF!</definedName>
    <definedName name="Expl_2.2">'PART Qs &amp; Section Scoring'!$E$23</definedName>
    <definedName name="Expl_2.3">'PART Qs &amp; Section Scoring'!$E$24</definedName>
    <definedName name="Expl_2.31">'PART Qs &amp; Section Scoring'!#REF!</definedName>
    <definedName name="Expl_2.4">'PART Qs &amp; Section Scoring'!$E$25</definedName>
    <definedName name="Expl_2.5">'PART Qs &amp; Section Scoring'!$E$27</definedName>
    <definedName name="Expl_2.6">'PART Qs &amp; Section Scoring'!$E$28</definedName>
    <definedName name="Expl_2.7">'PART Qs &amp; Section Scoring'!$E$29</definedName>
    <definedName name="Expl_2.8">'PART Qs &amp; Section Scoring'!$E$30</definedName>
    <definedName name="Expl_2.9">'PART Qs &amp; Section Scoring'!#REF!</definedName>
    <definedName name="Expl_3.1">'PART Qs &amp; Section Scoring'!$E$36</definedName>
    <definedName name="Expl_3.2">'PART Qs &amp; Section Scoring'!$E$37</definedName>
    <definedName name="Expl_3.3">'PART Qs &amp; Section Scoring'!$E$38</definedName>
    <definedName name="Expl_3.4">'PART Qs &amp; Section Scoring'!$E$39</definedName>
    <definedName name="Expl_3.5">'PART Qs &amp; Section Scoring'!$E$40</definedName>
    <definedName name="Expl_3.6">'PART Qs &amp; Section Scoring'!$E$41</definedName>
    <definedName name="Expl_3.7">'PART Qs &amp; Section Scoring'!$E$42</definedName>
    <definedName name="Expl_4.1">'PART Qs &amp; Section Scoring'!$E$50</definedName>
    <definedName name="Expl_4.2">'PART Qs &amp; Section Scoring'!$E$51</definedName>
    <definedName name="Expl_4.3">'PART Qs &amp; Section Scoring'!$E$52</definedName>
    <definedName name="Expl_4.4">'PART Qs &amp; Section Scoring'!$E$53</definedName>
    <definedName name="Expl_4.5">'PART Qs &amp; Section Scoring'!$E$54</definedName>
    <definedName name="Explanation">'PART Qs &amp; Section Scoring'!$E$12:$E$55</definedName>
    <definedName name="Last_question_type">'PART Qs &amp; Section Scoring'!#REF!</definedName>
    <definedName name="Measure_Year">'Measures'!$A$153:$M$153</definedName>
    <definedName name="New_Measure">'Measures'!$A$150:$M$156</definedName>
    <definedName name="placeholder">'Measures'!$B$13</definedName>
    <definedName name="pmanagement">'PART Qs &amp; Section Scoring'!$H$46</definedName>
    <definedName name="ppurpose">'PART Qs &amp; Section Scoring'!$H$18</definedName>
    <definedName name="presults">'PART Qs &amp; Section Scoring'!$H$55</definedName>
    <definedName name="_xlnm.Print_Area" localSheetId="3">'Account Info'!$B$1:$I$37</definedName>
    <definedName name="_xlnm.Print_Area" localSheetId="2">'Measures'!$B$1:$M$20</definedName>
    <definedName name="_xlnm.Print_Area" localSheetId="1">'PART Qs &amp; Section Scoring'!$B$1:$H$55</definedName>
    <definedName name="_xlnm.Print_Area" localSheetId="4">'Program Summary'!$G$11:$J$28</definedName>
    <definedName name="_xlnm.Print_Area" localSheetId="5">'Type-Specific Questions'!$A$1:$H$18</definedName>
    <definedName name="Program_ID">'PART Qs &amp; Section Scoring'!$C$6</definedName>
    <definedName name="Program_Name">'PART Qs &amp; Section Scoring'!$C$5</definedName>
    <definedName name="Program_Type_Primary">'PART Qs &amp; Section Scoring'!$C$4</definedName>
    <definedName name="Program_Type_Secondary">'PART Qs &amp; Section Scoring'!$D$4</definedName>
    <definedName name="Program_Type_Tertiary">'PART Qs &amp; Section Scoring'!$E$4</definedName>
    <definedName name="PY_Program_Funding_Level">'Account Info'!$C$12</definedName>
    <definedName name="Q2_CA">'Type-Specific Questions'!$A$4:$H$4</definedName>
    <definedName name="Q2_RD">'Type-Specific Questions'!$A$18:$H$19</definedName>
    <definedName name="Q2_RG">'Type-Specific Questions'!$A$12:$H$12</definedName>
    <definedName name="Q3_BF">'Type-Specific Questions'!$A$2:$H$3</definedName>
    <definedName name="Q3_CA">'Type-Specific Questions'!$A$5:$H$5</definedName>
    <definedName name="Q3_CO">'Type-Specific Questions'!$A$7:$H$9</definedName>
    <definedName name="Q3_CR">'Type-Specific Questions'!$A$10:$H$11</definedName>
    <definedName name="Q3_RD">'Type-Specific Questions'!$A$20:$H$20</definedName>
    <definedName name="Q3_RG">'Type-Specific Questions'!$A$13:$H$16</definedName>
    <definedName name="Q4_CA">'Type-Specific Questions'!$A$6:$H$6</definedName>
    <definedName name="Q4_RG">'Type-Specific Questions'!$A$17:$H$17</definedName>
    <definedName name="Question_Number">'PART Qs &amp; Section Scoring'!$B$12:$B$55</definedName>
    <definedName name="Question_types">'PART Qs &amp; Section Scoring'!#REF!</definedName>
    <definedName name="RD_Note_1.1">'Type-Specific Questions'!$O$21</definedName>
    <definedName name="RD_Note_1.2">'Type-Specific Questions'!$O$22</definedName>
    <definedName name="RD_Note_1.5">'Type-Specific Questions'!$O$25</definedName>
    <definedName name="Score_1.1">'PART Qs &amp; Section Scoring'!$H$12</definedName>
    <definedName name="Score_1.2">'PART Qs &amp; Section Scoring'!$H$13</definedName>
    <definedName name="Score_1.3">'PART Qs &amp; Section Scoring'!$H$14</definedName>
    <definedName name="Score_1.4">'PART Qs &amp; Section Scoring'!$H$15</definedName>
    <definedName name="Score_1.5">'PART Qs &amp; Section Scoring'!$H$16</definedName>
    <definedName name="Score_2.1">'PART Qs &amp; Section Scoring'!$H$22</definedName>
    <definedName name="Score_2.2">'PART Qs &amp; Section Scoring'!$H$24</definedName>
    <definedName name="Score_2.3">'PART Qs &amp; Section Scoring'!$H$27</definedName>
    <definedName name="Score_2.31">'PART Qs &amp; Section Scoring'!#REF!</definedName>
    <definedName name="Score_2.4">'PART Qs &amp; Section Scoring'!$H$28</definedName>
    <definedName name="Score_2.5">'PART Qs &amp; Section Scoring'!$H$29</definedName>
    <definedName name="Score_2.6">'PART Qs &amp; Section Scoring'!$H$30</definedName>
    <definedName name="Score_2.7">'PART Qs &amp; Section Scoring'!#REF!</definedName>
    <definedName name="Score_3.1">'PART Qs &amp; Section Scoring'!$H$36</definedName>
    <definedName name="Score_3.2">'PART Qs &amp; Section Scoring'!$H$37</definedName>
    <definedName name="Score_3.3">'PART Qs &amp; Section Scoring'!$H$38</definedName>
    <definedName name="Score_3.4">'PART Qs &amp; Section Scoring'!$H$39</definedName>
    <definedName name="Score_3.5">'PART Qs &amp; Section Scoring'!$H$40</definedName>
    <definedName name="Score_3.6">'PART Qs &amp; Section Scoring'!$H$41</definedName>
    <definedName name="Score_3.7">'PART Qs &amp; Section Scoring'!$H$42</definedName>
    <definedName name="Score_4.1">'PART Qs &amp; Section Scoring'!$H$50</definedName>
    <definedName name="Score_4.2">'PART Qs &amp; Section Scoring'!$H$51</definedName>
    <definedName name="Score_4.3">'PART Qs &amp; Section Scoring'!$H$52</definedName>
    <definedName name="Score_4.4">'PART Qs &amp; Section Scoring'!$H$53</definedName>
    <definedName name="Score_4.5">'PART Qs &amp; Section Scoring'!$H$54</definedName>
    <definedName name="Section_I_Title">'PART Qs &amp; Section Scoring'!$B$10</definedName>
    <definedName name="Section_II_Title">'PART Qs &amp; Section Scoring'!$B$20</definedName>
    <definedName name="Section_III_Title">'PART Qs &amp; Section Scoring'!$B$34</definedName>
    <definedName name="Section_IV_Title">'PART Qs &amp; Section Scoring'!$B$48</definedName>
    <definedName name="splanning">'PART Qs &amp; Section Scoring'!$H$32</definedName>
    <definedName name="Weight_1.1">'PART Qs &amp; Section Scoring'!$G$12</definedName>
    <definedName name="Weight_1.2">'PART Qs &amp; Section Scoring'!$G$13</definedName>
    <definedName name="Weight_1.3">'PART Qs &amp; Section Scoring'!$G$14</definedName>
    <definedName name="Weight_1.4">'PART Qs &amp; Section Scoring'!$G$15</definedName>
    <definedName name="Weight_1.5">'PART Qs &amp; Section Scoring'!$G$16</definedName>
    <definedName name="Weight_2.1">'PART Qs &amp; Section Scoring'!$G$22</definedName>
    <definedName name="Weight_2.2">'PART Qs &amp; Section Scoring'!$G$23</definedName>
    <definedName name="Weight_2.3">'PART Qs &amp; Section Scoring'!$G$24</definedName>
    <definedName name="Weight_2.31">'PART Qs &amp; Section Scoring'!#REF!</definedName>
    <definedName name="Weight_2.4">'PART Qs &amp; Section Scoring'!$G$25</definedName>
    <definedName name="Weight_2.5">'PART Qs &amp; Section Scoring'!$G$27</definedName>
    <definedName name="Weight_2.6">'PART Qs &amp; Section Scoring'!$G$28</definedName>
    <definedName name="Weight_2.7">'PART Qs &amp; Section Scoring'!$G$29</definedName>
    <definedName name="Weight_2.8">'PART Qs &amp; Section Scoring'!$G$30</definedName>
    <definedName name="Weight_3.1">'PART Qs &amp; Section Scoring'!$G$36</definedName>
    <definedName name="Weight_3.2">'PART Qs &amp; Section Scoring'!$G$37</definedName>
    <definedName name="Weight_3.3">'PART Qs &amp; Section Scoring'!$G$38</definedName>
    <definedName name="Weight_3.4">'PART Qs &amp; Section Scoring'!$G$39</definedName>
    <definedName name="Weight_3.5">'PART Qs &amp; Section Scoring'!$G$40</definedName>
    <definedName name="Weight_3.6">'PART Qs &amp; Section Scoring'!$G$41</definedName>
    <definedName name="Weight_3.7">'PART Qs &amp; Section Scoring'!$G$42</definedName>
    <definedName name="Weight_4.1">'PART Qs &amp; Section Scoring'!$G$50</definedName>
    <definedName name="Weight_4.2">'PART Qs &amp; Section Scoring'!$G$51</definedName>
    <definedName name="Weight_4.3">'PART Qs &amp; Section Scoring'!$G$52</definedName>
    <definedName name="Weight_4.4">'PART Qs &amp; Section Scoring'!$G$53</definedName>
    <definedName name="Weight_4.5">'PART Qs &amp; Section Scoring'!$G$54</definedName>
    <definedName name="Weighted_Score">'PART Qs &amp; Section Scoring'!$H$12:$H$55</definedName>
    <definedName name="Weighting">'PART Qs &amp; Section Scoring'!$G$12:$G$55</definedName>
    <definedName name="Year_data_collected">'PART Qs &amp; Section Scoring'!$C$9</definedName>
    <definedName name="YesNoNA">#REF!</definedName>
  </definedNames>
  <calcPr fullCalcOnLoad="1"/>
</workbook>
</file>

<file path=xl/comments1.xml><?xml version="1.0" encoding="utf-8"?>
<comments xmlns="http://schemas.openxmlformats.org/spreadsheetml/2006/main">
  <authors>
    <author>STRASSER_J</author>
  </authors>
  <commentList>
    <comment ref="D18" authorId="0">
      <text>
        <r>
          <rPr>
            <b/>
            <sz val="9"/>
            <rFont val="Tahoma"/>
            <family val="2"/>
          </rPr>
          <t xml:space="preserve">STANDARDS OF A YES: </t>
        </r>
        <r>
          <rPr>
            <sz val="9"/>
            <rFont val="Tahoma"/>
            <family val="2"/>
          </rPr>
          <t xml:space="preserve">The PART holds programs to high standards. It is not sufficient for a program simply to comply with the letter of the law. Rather it must show it is achieving its purpose and that it is managed well.  In other words, the performance of Federal programs should reflect the spirit of good government, not merely compliance with statute or adequacy.  In general, the PART requires a high level of evidence and it will likely be more difficult to justify a Yes than a No.  Sections I through III are scored in a Yes/No format. In Section IV, answers can be provided on a four-level scale (Yes, Large Extent, Small Extent, and No) to reflect partial achievement of goals and evidence of results. Answers should be based on the most recent credible evidence.
</t>
        </r>
        <r>
          <rPr>
            <b/>
            <sz val="9"/>
            <rFont val="Tahoma"/>
            <family val="2"/>
          </rPr>
          <t xml:space="preserve">
QUESTION WEIGHTING: </t>
        </r>
        <r>
          <rPr>
            <sz val="9"/>
            <rFont val="Tahoma"/>
            <family val="2"/>
          </rPr>
          <t xml:space="preserve">As a default, individual questions within a section are assigned equal weighting; however, the user can alter the weight of the questions in order to most accurately emphasize the key factors of the program. To avoid manipulation of the total score, weights should be adjusted prior to responding to any of the questions. If a question is not relevant to the program, the user may rate the question as Not Applicable. In these cases, the user would not apply weighting to the question but must provide an explanation of this response.
</t>
        </r>
        <r>
          <rPr>
            <b/>
            <sz val="9"/>
            <rFont val="Tahoma"/>
            <family val="2"/>
          </rPr>
          <t xml:space="preserve">TYPES OF PROGRAMS: </t>
        </r>
        <r>
          <rPr>
            <sz val="9"/>
            <rFont val="Tahoma"/>
            <family val="2"/>
          </rPr>
          <t xml:space="preserve">There is a separate PART form for each of the seven types of Federal programs, though most of the questions are common across the seven forms.  There may be  cases in which drawing questions from two different PARTs – i.e., creation of a “mixed” form – yields a more informative assessment. In those instances, we suggest that you choose the PART that most closely reflects the core functions of the program as a base, and then, if necessary, add selected questions from another PART.  </t>
        </r>
        <r>
          <rPr>
            <i/>
            <sz val="9"/>
            <rFont val="Tahoma"/>
            <family val="2"/>
          </rPr>
          <t>The OMB examiner should consult with a member of the OMB Performance Evaluation Team, if considering this approach.</t>
        </r>
        <r>
          <rPr>
            <sz val="9"/>
            <rFont val="Tahoma"/>
            <family val="2"/>
          </rPr>
          <t xml:space="preserve">
</t>
        </r>
      </text>
    </comment>
  </commentList>
</comments>
</file>

<file path=xl/comments2.xml><?xml version="1.0" encoding="utf-8"?>
<comments xmlns="http://schemas.openxmlformats.org/spreadsheetml/2006/main">
  <authors>
    <author>STRASSER_J</author>
    <author>argocd</author>
    <author>Krista Tibbs</author>
    <author>Bob Kilpatrick by Krista Tibbs</author>
  </authors>
  <commentList>
    <comment ref="C12" authorId="0">
      <text>
        <r>
          <rPr>
            <b/>
            <sz val="9"/>
            <rFont val="Tahoma"/>
            <family val="2"/>
          </rPr>
          <t xml:space="preserve">1.4.  Is the program design free of major flaws that would limit the program’s effectiveness or efficiency? 
Purpose of the question:  </t>
        </r>
        <r>
          <rPr>
            <sz val="9"/>
            <rFont val="Tahoma"/>
            <family val="2"/>
          </rPr>
          <t xml:space="preserve">to determine whether there are major design flaws in the program that limit its efficiency. </t>
        </r>
        <r>
          <rPr>
            <b/>
            <sz val="9"/>
            <rFont val="Tahoma"/>
            <family val="2"/>
          </rPr>
          <t xml:space="preserve">
Elements of a Yes answer:  </t>
        </r>
        <r>
          <rPr>
            <sz val="9"/>
            <rFont val="Tahoma"/>
            <family val="2"/>
          </rPr>
          <t>The program should be free from major design flaws that prevent it from meeting its defined objectives and performance goals.  To receive a Yes, there should be no strong evidence that another approach or mechanism would be more efficient/effective to achieve the intended purpose.  A consideration could be whether the government would get the same or better outcome by expending fewer total resources through a different mechanism. For example, there may be evidence that a regulatory program to ensure public safety would be more effective than a grant program. Analysis should consider whether the program structure continues to make sense given changing conditions in the field (e.g., changing threat levels or social conditions).  Other considerations could include whether the program extends its impact by leveraging funds and contributions from other parties.  
In the case of block-grant and credit programs, the assessment should also consider how well funds are targeted to meet the program purpose and whether funds are protected against supplantation or substitution.
For credit programs, a consideration can include the extent to which a large number of borrowers would otherwise not have access to financial resources.  Also consider whether the program costs are adequate, but not excessive, to achieve the policy goals.  For example, a Yes answer could mean that the program effectively uses market mechanisms to reduce government risk and thus minimize program costs.
Regulatory programs should receive a No if the statute underlying the regulations is not designed to maximize net benefits.</t>
        </r>
        <r>
          <rPr>
            <b/>
            <sz val="9"/>
            <rFont val="Tahoma"/>
            <family val="2"/>
          </rPr>
          <t xml:space="preserve">
Evidence/Data: </t>
        </r>
        <r>
          <rPr>
            <sz val="9"/>
            <rFont val="Tahoma"/>
            <family val="2"/>
          </rPr>
          <t xml:space="preserve">Evidence demonstrating efficient design can include cost effectiveness studies comparing alternative mechanisms (e.g., regulations or grants) with the current form of the problem (say, direct federal provision).  Evidence on the relative benefits and costs of the activity are also useful.
</t>
        </r>
        <r>
          <rPr>
            <b/>
            <sz val="9"/>
            <rFont val="Tahoma"/>
            <family val="2"/>
          </rPr>
          <t xml:space="preserve">
</t>
        </r>
        <r>
          <rPr>
            <sz val="9"/>
            <rFont val="Tahoma"/>
            <family val="2"/>
          </rPr>
          <t xml:space="preserve">
</t>
        </r>
        <r>
          <rPr>
            <sz val="8"/>
            <rFont val="Tahoma"/>
            <family val="0"/>
          </rPr>
          <t xml:space="preserve">
</t>
        </r>
      </text>
    </comment>
    <comment ref="C13" authorId="0">
      <text>
        <r>
          <rPr>
            <b/>
            <sz val="9"/>
            <rFont val="Tahoma"/>
            <family val="2"/>
          </rPr>
          <t xml:space="preserve">1.5  Is the program design effectively targeted, so that resources will reach intended beneficiaries and/or otherwise address the program’s purpose directly?
Purpose of the question:  </t>
        </r>
        <r>
          <rPr>
            <sz val="9"/>
            <rFont val="Tahoma"/>
            <family val="2"/>
          </rPr>
          <t>to determine whether the program is designed so that program resources will reach the intended beneficiaries efficiently and to avoid unintended subsidies.</t>
        </r>
        <r>
          <rPr>
            <b/>
            <sz val="9"/>
            <rFont val="Tahoma"/>
            <family val="2"/>
          </rPr>
          <t xml:space="preserve">
Elements of a Yes answer: </t>
        </r>
        <r>
          <rPr>
            <sz val="9"/>
            <rFont val="Tahoma"/>
            <family val="2"/>
          </rPr>
          <t>a Yes answer would require that a program demonstrates that the right beneficiaries are being targeted, activities that would have occurred without the program are not subsidized (or receive only warranted levels of subsidies), and program funds are targeted effectively to meet program purposes.  
Acceleration of activities due to Federal funding can be grounds for a Yes, but there should be evidence that the acceleration warrants the subsidy.  Acceleration of an activity that increases profits for a business -- that the firm would or could have undertaken eventually without the subsidy -- would not generally qualify for a Yes, unless there are significant external (i.e., social) benefits from the activity.
For R&amp;D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should show that the program 1) is designed to reach the highest practicable percentage of target beneficiaries and 2) that it is designed to have the smallest practicable share of funds going to unintended beneficiaries.  Regarding item 1), a small program may only be able to reach a small number of beneficiaries, but it should be well targeted on some merit basis. On item 2), programs not designed to avoid unwarranted shares of funding going to beneficiaries who do not need or merit the funding should receive a No answer.  Programs that are designed in a way that is likely to result in significant levels of erroneous payments should receive a No.
</t>
        </r>
        <r>
          <rPr>
            <sz val="8"/>
            <rFont val="Tahoma"/>
            <family val="0"/>
          </rPr>
          <t xml:space="preserve">
</t>
        </r>
      </text>
    </comment>
    <comment ref="C22"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C14"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C24" authorId="0">
      <text>
        <r>
          <rPr>
            <b/>
            <sz val="9"/>
            <rFont val="Tahoma"/>
            <family val="2"/>
          </rPr>
          <t xml:space="preserve">2.3  Does the program have a limited number of specific annual performance measures that can demonstrate progress toward achieving the program’s long-term goals?
Purpose of the question: </t>
        </r>
        <r>
          <rPr>
            <sz val="9"/>
            <rFont val="Tahoma"/>
            <family val="2"/>
          </rPr>
          <t>to determine whether a limited number of annual performance measures have been identified that directly support the long-term goals evaluated in Questions 2.1 and 2.2.  The measures should be logically linked to the long-term measures in a manner that enables them to demonstrate progress.</t>
        </r>
        <r>
          <rPr>
            <b/>
            <sz val="9"/>
            <rFont val="Tahoma"/>
            <family val="2"/>
          </rPr>
          <t xml:space="preserve">
Elements of a Yes answer: </t>
        </r>
        <r>
          <rPr>
            <sz val="9"/>
            <rFont val="Tahoma"/>
            <family val="2"/>
          </rPr>
          <t xml:space="preserve">a Yes answer would require annual performance measures that are discrete, quantifiable, and measurable. Most importantly, these annual measures should measure the program's progress towards reaching the long-term goals evaluated in Questions 2.1 and 2.2. The annual performance measures may focus on outputs and may or may not be those developed by the agency to comply with GPRA. A Yes answer can also be given, if OMB and the agency have reached agreement on a limited number of annual measures that will be included in the FY 2005 GPRA plan. Programs should have at least one efficiency measure or be developing one. </t>
        </r>
        <r>
          <rPr>
            <b/>
            <sz val="9"/>
            <rFont val="Tahoma"/>
            <family val="2"/>
          </rPr>
          <t xml:space="preserve">
If the program received a No in Question 2.1, an explanation of how annual performance goals contribute to desired long-term outcomes and purpose of the program must be provided to receive a Yes for this question.  Performance measures should be listed in the Measures tab of the PART worksheet. 
</t>
        </r>
        <r>
          <rPr>
            <sz val="9"/>
            <rFont val="Tahoma"/>
            <family val="2"/>
          </rPr>
          <t xml:space="preserve">For block grant programs that support a wide range of purposes and allow grantees to set their own program priorities, measures that address the extent to which grantees meet their own goals could be an option.  If an expressed purpose of the program is revenue sharing, a measure regarding this (e.g., effectiveness of targeting) could be one component of an answer.
For R&amp;D programs, a Yes answer would require that the program has annual performance measures to track how the program could improve scientific understanding and its application.  For R&amp;D programs that have multi-year schedules, the annual measure should tie into the longer term milestones, as appropriate.  Some basic research programs may not be able to define meaningful annual outcome or efficiency measures.  In such cases, these programs may use process-related indicators (see Question 3.4), especially those that can be conceptually linked to long-term research goals.  OMB will work with agencies to address appropriate measures.  </t>
        </r>
        <r>
          <rPr>
            <b/>
            <sz val="9"/>
            <rFont val="Tahoma"/>
            <family val="2"/>
          </rPr>
          <t xml:space="preserve">
Evidence/Data: </t>
        </r>
        <r>
          <rPr>
            <sz val="9"/>
            <rFont val="Tahoma"/>
            <family val="2"/>
          </rPr>
          <t xml:space="preserve">evidence will include the annual measures which may be those established by the program in a GPRA Annual Performance Plan or other program documents, or they may be new measures as agreed to by OMB and which will be included in FY 2005 GPRA documents.
</t>
        </r>
      </text>
    </comment>
    <comment ref="C27" authorId="0">
      <text>
        <r>
          <rPr>
            <b/>
            <sz val="9"/>
            <rFont val="Tahoma"/>
            <family val="2"/>
          </rPr>
          <t xml:space="preserve">2.5.  Do all partners (including grantees, sub-grantees, contractors, cost-sharing partners, and other government partners) commit to and work toward the annual and/or long-term goals of the program?
Purpose of the question: </t>
        </r>
        <r>
          <rPr>
            <sz val="9"/>
            <rFont val="Tahoma"/>
            <family val="2"/>
          </rPr>
          <t xml:space="preserve">to determine whether program efforts carried out by program partners also support the annual and long-term performance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t>
        </r>
        <r>
          <rPr>
            <b/>
            <sz val="9"/>
            <rFont val="Tahoma"/>
            <family val="2"/>
          </rPr>
          <t xml:space="preserve">
</t>
        </r>
        <r>
          <rPr>
            <sz val="9"/>
            <rFont val="Tahoma"/>
            <family val="2"/>
          </rPr>
          <t xml:space="preserve">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its partners, it can exert influence through a number of mechanisms. </t>
        </r>
        <r>
          <rPr>
            <b/>
            <sz val="9"/>
            <rFont val="Tahoma"/>
            <family val="2"/>
          </rPr>
          <t xml:space="preserve"> If the program received a No for both Questions 2.1 and 2.3, the program must receive a No for this question. </t>
        </r>
        <r>
          <rPr>
            <sz val="9"/>
            <rFont val="Tahoma"/>
            <family val="2"/>
          </rPr>
          <t xml:space="preserve">
In the case of regulatory programs, all regulated entities are not necessarily defined as program partners.
For programs funding grants for basic research, a Yes answer can be achieved if the program solicitation explicitly includes the program goals, and grant applications and progress reports provide sufficient means for the program manager to assess performance and continuing relevance.</t>
        </r>
        <r>
          <rPr>
            <b/>
            <sz val="9"/>
            <rFont val="Tahoma"/>
            <family val="2"/>
          </rPr>
          <t xml:space="preserve">
Evidence/Data: </t>
        </r>
        <r>
          <rPr>
            <sz val="9"/>
            <rFont val="Tahoma"/>
            <family val="2"/>
          </rPr>
          <t>evidence can include contracts and other documents that tie contractor performance to program goals, as well as other procedures the program uses to get partners to commit to, measure, and report on performance related to the program's goals.</t>
        </r>
      </text>
    </comment>
    <comment ref="C28" authorId="0">
      <text>
        <r>
          <rPr>
            <b/>
            <sz val="9"/>
            <rFont val="Tahoma"/>
            <family val="2"/>
          </rPr>
          <t xml:space="preserve">2.6.  Are independent evaluations of sufficient scope and quality conducted on a regular basis or as needed to support program improvements and evaluate effectiveness and relevance to the problem, interest, or need?
</t>
        </r>
        <r>
          <rPr>
            <sz val="9"/>
            <rFont val="Tahoma"/>
            <family val="2"/>
          </rPr>
          <t xml:space="preserve">
</t>
        </r>
        <r>
          <rPr>
            <b/>
            <sz val="9"/>
            <rFont val="Tahoma"/>
            <family val="2"/>
          </rPr>
          <t xml:space="preserve">Purpose of the question: </t>
        </r>
        <r>
          <rPr>
            <sz val="9"/>
            <rFont val="Tahoma"/>
            <family val="2"/>
          </rPr>
          <t xml:space="preserve">to ensure that the program (or agency) conducts non-biased evaluations on a regular or as-needed basis to fill gaps in performance information. These evaluations should be of sufficient scope to inform program improvements and influence program planning.  (For R&amp;D programs, this question is central to prospective R&amp;D program planning to address all of the R&amp;D investment criteria (see Attachment E of this BPM).)
</t>
        </r>
        <r>
          <rPr>
            <b/>
            <sz val="9"/>
            <rFont val="Tahoma"/>
            <family val="2"/>
          </rPr>
          <t>Elements of a Yes answer:</t>
        </r>
        <r>
          <rPr>
            <sz val="9"/>
            <rFont val="Tahoma"/>
            <family val="2"/>
          </rPr>
          <t xml:space="preserve"> 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(Programs that receive frequent evaluation from third parties, such as GAO, can receive a Yes for this question even though they do not initiate the evaluations, so long as they use the evaluations for program planning.)  
In addition to evaluating whether the program has achieved its performance targets on schedule, evaluations should include recommendations on how to improve the program's performance.  To ensure the program continues to meet its performance targets, an evaluation may be scheduled on a periodic basis, such as every two to five years or whatever time schedule is reasonable based on the specific program and its mission and goals.  
To be independent, non-biased parties with no conflict of interest would conduct the evaluation.  Evaluations conducted by the program itself should generally not be considered “independent;” however, if the program has contracted out the evaluation to a third party this may qualify as being sufficiently independent.  Evaluations conducted by an agency’s Inspector General’s or program-evaluation office might also be considered “independent.”  OMB examiners will advise if a specific evaluation can be considered “independent” for this question. 
A No answer would be appropriate for a program that has insufficient independent evaluation data or (except perhaps for basic research programs) evaluations that address process and not performance.
For R&amp;D programs, a Yes answer would require that programs undergo and pass some review of relevance to their agencies, fields of science or technology, or customers.  A “customer” may be another program at the same or another agency, an interagency initiative or partnership, or a firm or other organization from another sector or country.  Industry-relevant programs may use industry cost-sharing of associated projects as an indicator of market-relevance, and they should incorporate industry in planning and prioritization.
</t>
        </r>
        <r>
          <rPr>
            <b/>
            <sz val="9"/>
            <rFont val="Tahoma"/>
            <family val="2"/>
          </rPr>
          <t xml:space="preserve">Evidence/Data: </t>
        </r>
        <r>
          <rPr>
            <sz val="9"/>
            <rFont val="Tahoma"/>
            <family val="2"/>
          </rPr>
          <t xml:space="preserve">evidence can include a plan or schedule of program evaluations and program documentation describing the type of evaluation and criteria for selecting an independent evaluator.
</t>
        </r>
        <r>
          <rPr>
            <b/>
            <sz val="9"/>
            <rFont val="Tahoma"/>
            <family val="2"/>
          </rPr>
          <t xml:space="preserve">
</t>
        </r>
        <r>
          <rPr>
            <sz val="8"/>
            <rFont val="Tahoma"/>
            <family val="0"/>
          </rPr>
          <t xml:space="preserve">
</t>
        </r>
      </text>
    </comment>
    <comment ref="C29" authorId="0">
      <text>
        <r>
          <rPr>
            <b/>
            <sz val="9"/>
            <rFont val="Tahoma"/>
            <family val="2"/>
          </rPr>
          <t xml:space="preserve">2.7.  Are Budget requests explicitly tied to accomplishment of the annual and long-term performance goals, and are the resource needs presented in a complete and transparent manner in the program’s budget?
Purpose of the question: </t>
        </r>
        <r>
          <rPr>
            <sz val="9"/>
            <rFont val="Tahoma"/>
            <family val="2"/>
          </rPr>
          <t xml:space="preserve">to establish whether the performance-planning and budget-planning processes are integrated so that 1) resource allocation decisions reflect desired performance levels (given resource constraints) and 2) the effects of funding and other policy changes on results are clear.
</t>
        </r>
        <r>
          <rPr>
            <b/>
            <sz val="9"/>
            <rFont val="Tahoma"/>
            <family val="2"/>
          </rPr>
          <t xml:space="preserve">
Elements of a Yes answer: </t>
        </r>
        <r>
          <rPr>
            <sz val="9"/>
            <rFont val="Tahoma"/>
            <family val="2"/>
          </rPr>
          <t>a Yes answer should reflect effective program budgeting based on sound levels for 1) annual and long-term performance targets and 2) budget resources.  To receive a Yes, the program must provide a presentation that makes clear the impact of funding, policy, or legislative decisions on expected performance and explains why the requested performance/resource mix is appropriate.  A program with budget planning that is not tied to performance or strategic planning would receive a No.</t>
        </r>
        <r>
          <rPr>
            <b/>
            <sz val="9"/>
            <rFont val="Tahoma"/>
            <family val="2"/>
          </rPr>
          <t xml:space="preserve">
</t>
        </r>
        <r>
          <rPr>
            <sz val="9"/>
            <rFont val="Tahoma"/>
            <family val="2"/>
          </rPr>
          <t xml:space="preserve">
A Yes answer would also require that the program report all direct and indirect costs needed to attain the performance results, including applicable agency overhead, retirement, and other costs that might be budgeted elsewhere.  The exclusion of minor amounts of services provided from central departmental offices (e.g., Office of the Secretary) from program costs does not require a program to receive a No answer.  However, a program that generates significant costs – which might range from radioactive waste disposal to attorneys’ salaries – that must be addressed by another program should budget for these costs or, at a minimum, provide this information in clear display tables that display the full costs of attaining results.
For capital assets and services acquisition programs, programs should be able to identify impacts of changes in quantities on performance. </t>
        </r>
        <r>
          <rPr>
            <b/>
            <sz val="9"/>
            <rFont val="Tahoma"/>
            <family val="2"/>
          </rPr>
          <t xml:space="preserve">
Evidence/Data: </t>
        </r>
        <r>
          <rPr>
            <sz val="9"/>
            <rFont val="Tahoma"/>
            <family val="2"/>
          </rPr>
          <t>evidence can include documentation of how the budget request directly supports achieving performance targets.  Budget documents should also clearly indicate the full costs of achieving performance goals, even if some of these costs do not appear in the specific account or activity line of the program. 
Also, evidence can include an agency program budget estimate that identifies all spending categories in sufficient detail to demonstrate that all relevant costs are included or a report that shows the allocation of all significant program overhead costs to the program.</t>
        </r>
        <r>
          <rPr>
            <b/>
            <sz val="9"/>
            <rFont val="Tahoma"/>
            <family val="2"/>
          </rPr>
          <t xml:space="preserve">
</t>
        </r>
        <r>
          <rPr>
            <sz val="8"/>
            <rFont val="Tahoma"/>
            <family val="0"/>
          </rPr>
          <t xml:space="preserve">
</t>
        </r>
      </text>
    </comment>
    <comment ref="C30" authorId="0">
      <text>
        <r>
          <rPr>
            <b/>
            <sz val="9"/>
            <rFont val="Tahoma"/>
            <family val="2"/>
          </rPr>
          <t xml:space="preserve">2.8.  Has the program taken meaningful steps to correct its strategic planning deficiencies?
Purpose of the question: </t>
        </r>
        <r>
          <rPr>
            <sz val="9"/>
            <rFont val="Tahoma"/>
            <family val="2"/>
          </rPr>
          <t xml:space="preserve">to determine whether the program is on track to correct any strategic planning deficiencies that have been identified. </t>
        </r>
        <r>
          <rPr>
            <b/>
            <sz val="9"/>
            <rFont val="Tahoma"/>
            <family val="2"/>
          </rPr>
          <t xml:space="preserve">
Elements of a Yes answer: </t>
        </r>
        <r>
          <rPr>
            <sz val="9"/>
            <rFont val="Tahoma"/>
            <family val="2"/>
          </rPr>
          <t>a Yes answer would require that the program has acted to correct strategic planning deficiencies.  A program that does not review planning efforts or does not make corrections to eliminate identified deficiencies would receive a No.  The question addresses any deficiencies identified in this section.  Particular emphasis, however, should be placed on whether the program is working to adopt a limited number of specific, ambitious long-term performance goals and a limited number of annual performance goals that demonstrate progress toward achieving the long-term goals, if they do not already have these measures or associated baselines, targets, and timeframes.
For Capital Assets and Service Acquisition programs (and relevant R&amp;D programs), one strategic planning deficiency to be addressed is if the program has in the past received a No to Question 4.CA1.</t>
        </r>
        <r>
          <rPr>
            <b/>
            <sz val="9"/>
            <rFont val="Tahoma"/>
            <family val="2"/>
          </rPr>
          <t xml:space="preserve">
Evidence/Data: </t>
        </r>
        <r>
          <rPr>
            <sz val="9"/>
            <rFont val="Tahoma"/>
            <family val="2"/>
          </rPr>
          <t xml:space="preserve">evidence can include a description of how deficiencies in the strategic planning of a program are identified and corrected, as well as examples of such changes.
</t>
        </r>
        <r>
          <rPr>
            <sz val="8"/>
            <rFont val="Tahoma"/>
            <family val="0"/>
          </rPr>
          <t xml:space="preserve">
</t>
        </r>
      </text>
    </comment>
    <comment ref="D10"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D20"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D34"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E48"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C50" authorId="0">
      <text>
        <r>
          <rPr>
            <b/>
            <sz val="9"/>
            <rFont val="Tahoma"/>
            <family val="2"/>
          </rPr>
          <t xml:space="preserve">4.1. Has the program demonstrated adequate progress in achieving its long-term performance goals?
Purpose of the question: </t>
        </r>
        <r>
          <rPr>
            <sz val="9"/>
            <rFont val="Tahoma"/>
            <family val="2"/>
          </rPr>
          <t xml:space="preserve">to determine whether the program is meeting or making measurable progress toward meeting the long-term performance goals evaluated in Questions 2.1 and 2.2. The question also seeks to determine whether the program's partners are meeting long-term goals evaluated in Question 2.5, if partner performance is critical to the program achieving its goals.  Examples of partners can include grantees, participating financial institutions, regulated bodies, or suppliers.
</t>
        </r>
        <r>
          <rPr>
            <b/>
            <sz val="9"/>
            <rFont val="Tahoma"/>
            <family val="2"/>
          </rPr>
          <t xml:space="preserve">
Elements of a Yes answer: </t>
        </r>
        <r>
          <rPr>
            <sz val="9"/>
            <rFont val="Tahoma"/>
            <family val="2"/>
          </rPr>
          <t xml:space="preserve">a Yes answer (i.e., full credit) would require that the program is on track to meet all the long-term performance goals – including ambitious targets and timeframes – evaluated in Questions 2.1 and 2.2.  A program would not receive a Yes answer simply meeting any one of its long-term targets, or by having performance measures but no ambitious targets and timeframes.  A Yes answer would also require that, where applicable, partners commit to long-term outcome targets and achieve them as well. 
Partial credit, such as Large Extent or Small Extent, should be given in cases where there is partial, but notable, achievement of long-term targets. A program could receive a No if it had received a Yes for achieving its annual targets (next question), but is not making progress toward meeting its long-term goals. </t>
        </r>
        <r>
          <rPr>
            <b/>
            <sz val="9"/>
            <rFont val="Tahoma"/>
            <family val="2"/>
          </rPr>
          <t xml:space="preserve">
Space is provided in the Measures tab of the PART worksheet to list and document goals, targets and achieved results.  
Additional rating guidance: 
· If adequate outcome (or output) measures are not available and a program received a No in Question 2.1, the program must receive a No answer to this question.   
· If the program received a Yes  in Question 2.1 and a No in Question 2.2, then the program cannot receive a rating higher than Small Extent.
The only exceptions to this guidance are in cases in which OMB has approved the use of alternative forms of assessment, as discussed in the Section IV overview.
</t>
        </r>
        <r>
          <rPr>
            <sz val="9"/>
            <rFont val="Tahoma"/>
            <family val="2"/>
          </rPr>
          <t xml:space="preserve">Where relevant, a Yes answer would also require that a program has addressed appropriately any predefined decision or termination points.
</t>
        </r>
        <r>
          <rPr>
            <b/>
            <sz val="9"/>
            <rFont val="Tahoma"/>
            <family val="2"/>
          </rPr>
          <t xml:space="preserve">
Evidence/Data: </t>
        </r>
        <r>
          <rPr>
            <sz val="9"/>
            <rFont val="Tahoma"/>
            <family val="2"/>
          </rPr>
          <t xml:space="preserve">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targets are not met, additional evidence can include an explanation of the main reasons.
 </t>
        </r>
        <r>
          <rPr>
            <b/>
            <sz val="9"/>
            <rFont val="Tahoma"/>
            <family val="2"/>
          </rPr>
          <t xml:space="preserve">
</t>
        </r>
        <r>
          <rPr>
            <sz val="9"/>
            <rFont val="Tahoma"/>
            <family val="2"/>
          </rPr>
          <t xml:space="preserve">
In general, Not Applicable answers are not appropriate for Questions 4.1 and 4.2.  While it is recognized that some programs may have great difficulty developing quantitative performance goals, programs are strongly encouraged to have some meaningful and appropriate methods for demonstrating results.  OMB and agencies should work together to develop approaches for programs where it is difficult to develop quantitative measures, and where qualitative, expert-review, or other measures are more appropriate.  </t>
        </r>
      </text>
    </comment>
    <comment ref="C51" authorId="0">
      <text>
        <r>
          <rPr>
            <b/>
            <sz val="9"/>
            <rFont val="Tahoma"/>
            <family val="2"/>
          </rPr>
          <t xml:space="preserve">4.2. Does the program (including program partners) achieve its annual performance goals?
Purpose of the question: </t>
        </r>
        <r>
          <rPr>
            <sz val="9"/>
            <rFont val="Tahoma"/>
            <family val="2"/>
          </rPr>
          <t xml:space="preserve">to determine whether the program is meeting the targets evaluated in Question 2.4.  The question also seeks to determine whether the program's partners are meeting annual targets evaluated in Question 2.5, if partner performance is critical to the program achieving its overall targets.  Examples of partners can include grantees, contractors, participating financial institutions, regulated bodies, or suppliers.
</t>
        </r>
        <r>
          <rPr>
            <b/>
            <sz val="9"/>
            <rFont val="Tahoma"/>
            <family val="2"/>
          </rPr>
          <t xml:space="preserve">
Elements of a Yes answer: </t>
        </r>
        <r>
          <rPr>
            <sz val="9"/>
            <rFont val="Tahoma"/>
            <family val="2"/>
          </rPr>
          <t xml:space="preserve">a Yes answer (i.e., full credit) would require that the program meet all the annual performance targets evaluated in Question 2.4.  A Yes answer would also require the program received a Yes for Questions 2.1 and 2.3, and a Yes or Not Applicable for Question 2.5.  A program would not receive a Yes answer by simply meeting any one of its annual targets.  A Yes answer would also require that, where applicable, partners commit to annual targets and achieve them as well. 
Partial credit such as Large Extent or Small Extent, should be given in cases where there is partial, but notable, achievement of targets.  
</t>
        </r>
        <r>
          <rPr>
            <b/>
            <sz val="9"/>
            <rFont val="Tahoma"/>
            <family val="2"/>
          </rPr>
          <t xml:space="preserve">
Space is provided in the Measures tab of the PART worksheet to list and document goals, targets and achieved results.  
Additional rating guidance:
· If a program received a No in Question 2.3, the program must receive a No answer to this question. 
· If the program received a Yes in Question 2.3 and a No in Question 2.4, then the program cannot receive a rating higher than Small Extent.
The only exceptions to this guidance are in cases in which OMB has approved the use of alternative forms of assessment, as discussed in the Section IV overview.
Evidence/Data: </t>
        </r>
        <r>
          <rPr>
            <sz val="9"/>
            <rFont val="Tahoma"/>
            <family val="2"/>
          </rPr>
          <t xml:space="preserve">evidence can include data from the agency's annual GPRA performance report, a strategic plan, or other Administration goals and objectives. In cases where targets are not met, additional evidence can include an explanation of the main reasons. </t>
        </r>
        <r>
          <rPr>
            <b/>
            <sz val="9"/>
            <rFont val="Tahoma"/>
            <family val="2"/>
          </rPr>
          <t xml:space="preserve">
</t>
        </r>
        <r>
          <rPr>
            <sz val="9"/>
            <rFont val="Tahoma"/>
            <family val="2"/>
          </rPr>
          <t xml:space="preserve">In general, Not Applicable answers are not appropriate for Questions 4.1 and 4.2.  While it is recognized that some programs may have great difficulty developing quantitative performance goals, programs are strongly encouraged to have some meaningful and appropriate methods for demonstrating results.  OMB and agencies should work together to develop approaches for programs where it is difficult to develop quantitative measures, and where qualitative, expert-review, or other measures are more appropriate.  </t>
        </r>
      </text>
    </comment>
    <comment ref="C52" authorId="0">
      <text>
        <r>
          <rPr>
            <b/>
            <sz val="9"/>
            <rFont val="Tahoma"/>
            <family val="2"/>
          </rPr>
          <t xml:space="preserve">4.3.  Does the program demonstrate improved efficiencies or cost effectiveness in achieving program goals each year?
Purpose of the question: </t>
        </r>
        <r>
          <rPr>
            <sz val="9"/>
            <rFont val="Tahoma"/>
            <family val="2"/>
          </rPr>
          <t>to determine whether management practices have resulted in efficiency gains over the past year.</t>
        </r>
        <r>
          <rPr>
            <b/>
            <sz val="9"/>
            <rFont val="Tahoma"/>
            <family val="2"/>
          </rPr>
          <t xml:space="preserve">
Elements of a Yes answer: </t>
        </r>
        <r>
          <rPr>
            <sz val="9"/>
            <rFont val="Tahoma"/>
            <family val="2"/>
          </rPr>
          <t>A Yes would require that the program demonstrate improved efficiency or cost effectiveness over the prior year.  Efficiency improvements should generally be measured in terms of dollars or time (other measures, such as energy, may also be appropriate).  Programs that complete an A-76 competition – an indicator of cost-efficient processes –  would also likely be eligible for a Yes answer, provided that the competition addresses the program’s key cost and performance drivers.  Also, programs that clearly demonstrate very high levels of efficiency through other means may receive a Yes without documenting increasing efficiency over time.  A program would normally not be eligible for a Yes answer to this question if it received a No in Question 3.4.</t>
        </r>
        <r>
          <rPr>
            <b/>
            <sz val="9"/>
            <rFont val="Tahoma"/>
            <family val="2"/>
          </rPr>
          <t xml:space="preserve">
Evidence/Data: </t>
        </r>
        <r>
          <rPr>
            <sz val="9"/>
            <rFont val="Tahoma"/>
            <family val="2"/>
          </rPr>
          <t>evidence can include meeting performance targets to reduce per unit costs, time, or energy use; meeting production and schedule targets; or meeting other targets that result in tangible productivity or efficiency gains.  Efficiency measures may also be considered in Questions 4.1 and 4.2.</t>
        </r>
        <r>
          <rPr>
            <b/>
            <sz val="9"/>
            <rFont val="Tahoma"/>
            <family val="2"/>
          </rPr>
          <t xml:space="preserve">
</t>
        </r>
        <r>
          <rPr>
            <sz val="9"/>
            <rFont val="Tahoma"/>
            <family val="2"/>
          </rPr>
          <t xml:space="preserve">
</t>
        </r>
      </text>
    </comment>
    <comment ref="C53" authorId="0">
      <text>
        <r>
          <rPr>
            <b/>
            <sz val="9"/>
            <rFont val="Tahoma"/>
            <family val="2"/>
          </rPr>
          <t xml:space="preserve">4.4. Does the performance of this program compare favorably to other programs, including government, private, etc., with similar purpose and goals?
Purpose of the question: </t>
        </r>
        <r>
          <rPr>
            <sz val="9"/>
            <rFont val="Tahoma"/>
            <family val="2"/>
          </rPr>
          <t>to determine how well the program performs relative to other programs engaged in a similar activity.</t>
        </r>
        <r>
          <rPr>
            <b/>
            <sz val="9"/>
            <rFont val="Tahoma"/>
            <family val="2"/>
          </rPr>
          <t xml:space="preserve">
Elements of a Yes answer: </t>
        </r>
        <r>
          <rPr>
            <sz val="9"/>
            <rFont val="Tahoma"/>
            <family val="2"/>
          </rPr>
          <t>a Yes answer would require the program compare favorably to other programs with similar purpose and goals.  Programs are not limited to Federal government and can include State and local government and the private sector.  The user should consider relevant evaluations that allow a comparison of programs with similar purpose and goals.  If there are no programs with similar purpose and goals for comparison, then a Not Applicable rating is appropriate.  (This question is not limited to comparisons of programs with explicitly coordinated “common measures.”)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 xml:space="preserve">evidence can include evaluations and documentation comparing similar programs. 
</t>
        </r>
      </text>
    </comment>
    <comment ref="C54" authorId="0">
      <text>
        <r>
          <rPr>
            <b/>
            <sz val="9"/>
            <rFont val="Tahoma"/>
            <family val="2"/>
          </rPr>
          <t xml:space="preserve">4.5. Do independent evaluations of sufficient scope and quality indicate that the program is effective and achieving results?
</t>
        </r>
        <r>
          <rPr>
            <sz val="9"/>
            <rFont val="Tahoma"/>
            <family val="2"/>
          </rPr>
          <t xml:space="preserve">
</t>
        </r>
        <r>
          <rPr>
            <b/>
            <sz val="9"/>
            <rFont val="Tahoma"/>
            <family val="2"/>
          </rPr>
          <t xml:space="preserve">Purpose of the question: </t>
        </r>
        <r>
          <rPr>
            <sz val="9"/>
            <rFont val="Tahoma"/>
            <family val="2"/>
          </rPr>
          <t xml:space="preserve">to determine whether the program is effective based on independent and comprehensive evaluations.  This question may be particularly important for programs that have substantial difficulty formulating quantitative performance measures.  (For R&amp;D programs, this question is central to retrospective assessment of all of the R&amp;D criteria (see Attachment E of this BPM).)
</t>
        </r>
        <r>
          <rPr>
            <b/>
            <sz val="9"/>
            <rFont val="Tahoma"/>
            <family val="2"/>
          </rPr>
          <t xml:space="preserve">
Elements of a Yes answer: </t>
        </r>
        <r>
          <rPr>
            <sz val="9"/>
            <rFont val="Tahoma"/>
            <family val="2"/>
          </rPr>
          <t xml:space="preserve">a Yes answer would require that program evaluations indicate that the program is effective (if the evaluations of Question 2.6 address past effectiveness and accomplishments, they may be used as evidence for this question as well). If a program is taking necessary steps to correct deficiencies uncovered by the evaluation, the user should address this effort in Question 3.7.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Evaluations conducted by the program itself should not be considered “independent.”  However, if the program has contracted out the evaluation to a third-party, it might be considered independent.  Evaluations conducted by an agency’s Inspector General’s or program-evaluation office also might be considered “independent.”  OMB examiners will advise if a specific evaluation can be considered “independent” for this question.
In some specific cases, it may be reasonable that a program has not received an independent evaluation.  In such cases, Not Applicable is an appropriate answer.  However, if the program is of a magnitude or importance level such that it warrants an independent evaluation, but has not had one, then a No answer is appropriate.
</t>
        </r>
        <r>
          <rPr>
            <b/>
            <sz val="9"/>
            <rFont val="Tahoma"/>
            <family val="2"/>
          </rPr>
          <t xml:space="preserve">
Evidence/Data: </t>
        </r>
        <r>
          <rPr>
            <sz val="9"/>
            <rFont val="Tahoma"/>
            <family val="2"/>
          </rPr>
          <t xml:space="preserve">evidence can include findings of an evaluation conducted by the General Accounting Office, Inspectors General, academic and research institutions, agency contracts, or other independent entities.
</t>
        </r>
      </text>
    </comment>
    <comment ref="A1" authorId="1">
      <text>
        <r>
          <rPr>
            <b/>
            <sz val="9"/>
            <rFont val="Tahoma"/>
            <family val="2"/>
          </rPr>
          <t xml:space="preserve">1.1  Is the program purpose clear?
Purpose of the question: </t>
        </r>
        <r>
          <rPr>
            <sz val="9"/>
            <rFont val="Tahoma"/>
            <family val="2"/>
          </rPr>
          <t xml:space="preserve">to determine whether the program has a focused and well-defined mission.  Determining this purpose is critical to determination of useful performance measures and targets. 
</t>
        </r>
        <r>
          <rPr>
            <b/>
            <sz val="9"/>
            <rFont val="Tahoma"/>
            <family val="2"/>
          </rPr>
          <t xml:space="preserve">
Elements of a Yes answer: a</t>
        </r>
        <r>
          <rPr>
            <sz val="9"/>
            <rFont val="Tahoma"/>
            <family val="2"/>
          </rPr>
          <t xml:space="preserve"> Yes answer would require a clear and unambiguous mission. Considerations can include whether the program purpose can be stated succinctly. A No answer would be appropriate if the program has multiple conflicting purposes.</t>
        </r>
        <r>
          <rPr>
            <b/>
            <sz val="9"/>
            <rFont val="Tahoma"/>
            <family val="2"/>
          </rPr>
          <t xml:space="preserve">
Evidence/Data: </t>
        </r>
        <r>
          <rPr>
            <sz val="9"/>
            <rFont val="Tahoma"/>
            <family val="2"/>
          </rPr>
          <t xml:space="preserve">evidence can include a statement of the purpose and supporting objectives from the program’s authorizing legislation, program documentation or mission statement.
</t>
        </r>
        <r>
          <rPr>
            <b/>
            <sz val="9"/>
            <rFont val="Tahoma"/>
            <family val="2"/>
          </rPr>
          <t xml:space="preserve">
</t>
        </r>
        <r>
          <rPr>
            <sz val="8"/>
            <rFont val="Tahoma"/>
            <family val="0"/>
          </rPr>
          <t xml:space="preserve">
</t>
        </r>
      </text>
    </comment>
    <comment ref="A1" authorId="1">
      <text>
        <r>
          <rPr>
            <b/>
            <sz val="9"/>
            <rFont val="Tahoma"/>
            <family val="2"/>
          </rPr>
          <t xml:space="preserve">1.2  Does the program address a specific and existing problem, interest, or need? 
Purpose of the question: </t>
        </r>
        <r>
          <rPr>
            <sz val="9"/>
            <rFont val="Tahoma"/>
            <family val="2"/>
          </rPr>
          <t>to determine whether the program addresses a specific problem, interest, or need that can be clearly defined and that currently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A No should be given if there is no clear need for the program.</t>
        </r>
        <r>
          <rPr>
            <b/>
            <sz val="9"/>
            <rFont val="Tahoma"/>
            <family val="2"/>
          </rPr>
          <t xml:space="preserve">
Evidence/Data: </t>
        </r>
        <r>
          <rPr>
            <sz val="9"/>
            <rFont val="Tahoma"/>
            <family val="2"/>
          </rPr>
          <t xml:space="preserve">evidence should describe the problem, interest or need that the program is designed to address and include relevant documentation. An example could be the number and income levels of uninsured individuals for a program that provides care to those without health insurance. 
</t>
        </r>
      </text>
    </comment>
    <comment ref="A1" authorId="1">
      <text>
        <r>
          <rPr>
            <b/>
            <sz val="9"/>
            <rFont val="Tahoma"/>
            <family val="2"/>
          </rPr>
          <t>2.1  Does the program have a limited number of specific long-term performance measures that focus on outcomes and meaningfully reflect the purpose of the program?</t>
        </r>
        <r>
          <rPr>
            <b/>
            <sz val="10"/>
            <rFont val="Tahoma"/>
            <family val="2"/>
          </rPr>
          <t xml:space="preserve">
</t>
        </r>
        <r>
          <rPr>
            <b/>
            <sz val="9"/>
            <rFont val="Tahoma"/>
            <family val="2"/>
          </rPr>
          <t xml:space="preserve">
Purpose of the question: </t>
        </r>
        <r>
          <rPr>
            <sz val="9"/>
            <rFont val="Tahoma"/>
            <family val="2"/>
          </rPr>
          <t xml:space="preserve">to determine if the program has long-term performance measures to guide program management and budgeting and promote results and accountability.  This question seeks to assess whether the program measures are salient, meaningful, and capture the most important aspects of program purpose and appropriate strategic goals. 
</t>
        </r>
        <r>
          <rPr>
            <b/>
            <sz val="9"/>
            <rFont val="Tahoma"/>
            <family val="2"/>
          </rPr>
          <t xml:space="preserve">
Elements of a Yes answer: </t>
        </r>
        <r>
          <rPr>
            <sz val="9"/>
            <rFont val="Tahoma"/>
            <family val="2"/>
          </rPr>
          <t xml:space="preserve">a Yes answer would require identifying a limited number (e.g., two or three) of specific, easily understood program outcome measures that directly and meaningfully support the program's purpose.  A “performance measure” is an outcome or output measure.  “Long-term” is defined as covering a relatively long period of time relative to the nature of the program but is likely to be on the order of 5-10 years and consistent with time periods for strategic goals used in the Agency Strategic Plan.  
The measures should focus on outcomes to the extent possible and may or may not be those developed to comply with the Government Performance and Results Act (GPRA). While most programs have GPRA measures, many of these measures do not meet the standards of a Yes.  A Yes answer can also be given if OMB and the agency have reached agreement on a limited number of long-term measures that will be added to the FY 2005 GPRA plan. 
Output measures would only meet the standards of a Yes answer if the program can produce sound justification for not adopting outcome measures.   Programs should have at least one efficiency measure or be developing one.  
A No answer would be given for long-term measures that do not directly and meaningfully relate to the program’s purpose or are unnecessarily focused on outputs and lack adequate justification.  A program should not receive a No for having more than a few measures, provided the program has identified a few high-priority measures that are representative of the program’s activities.  Performance measures should be listed in the Measures tab of the PART worksheet. 
For block grant programs that support a wide range of purposes and allow grantees to set their own program priorities, measures that address the extent to which grantees meet their own goals could be an option.  If an expressed purpose of the program is revenue sharing, a measure regarding this (e.g., effectiveness of targeting) could be acceptable as well.
For R&amp;D programs, OMB will work with agencies to address appropriate measures.  Some R&amp;D programs, especially in basic research, may not be required to provide long-term efficiency measures, due to the uncertainty of outcomes and the years it takes to achieve and recognize them.
</t>
        </r>
        <r>
          <rPr>
            <b/>
            <sz val="9"/>
            <rFont val="Tahoma"/>
            <family val="2"/>
          </rPr>
          <t xml:space="preserve">
Evidence/Data: </t>
        </r>
        <r>
          <rPr>
            <sz val="9"/>
            <rFont val="Tahoma"/>
            <family val="2"/>
          </rPr>
          <t>evidence will include the long-term measures established by the program either in the GPRA plan or other program document or as agreed to by OMB and to be included in FY 2005 GPRA documents.</t>
        </r>
      </text>
    </comment>
    <comment ref="A1" authorId="1">
      <text>
        <r>
          <rPr>
            <b/>
            <sz val="9"/>
            <rFont val="Tahoma"/>
            <family val="2"/>
          </rPr>
          <t xml:space="preserve">1.3  Is the program designed so that it is not redundant or duplicative of any other Federal, State, local or private effort?
Purpose of the question: to determine whether the program is designed to fill a unique role or whether it instead unnecessarily duplicates or even competes with other Federal or non-federal programs. 
Elements of a Yes answer: </t>
        </r>
        <r>
          <rPr>
            <sz val="9"/>
            <rFont val="Tahoma"/>
            <family val="2"/>
          </rPr>
          <t xml:space="preserve">a Yes answer would require that the program does not excessively overlap with other Federal or non-federal efforts, including the efforts of State and local governments or the private and non-profit sectors.  A consideration can include whether the program serves a population not served by other programs.  </t>
        </r>
        <r>
          <rPr>
            <b/>
            <sz val="9"/>
            <rFont val="Tahoma"/>
            <family val="2"/>
          </rPr>
          <t xml:space="preserve">
</t>
        </r>
        <r>
          <rPr>
            <sz val="9"/>
            <rFont val="Tahoma"/>
            <family val="2"/>
          </rPr>
          <t xml:space="preserve">A No answer should be given when there is more than one program that addresses the same problem, interest, or need, regardless of the size or history of the respective programs.  For programs that partially overlap with others, a No should be given when major aspects of the program, such as its purpose, targeted beneficiaries, or mechanisms, are duplicative.  If there are two programs that significantly overlap and one is large and another is small, both programs should receive a No for this question.  
Similar programs might be justified in receiving a Yes if a strong case can be made that fixed costs are low and competition is beneficial (e.g., perhaps multiple laboratories) or if more than one service delivery mechanism is appropriate (e.g., block grants for base activities and competitive grants for demonstration projects).  Also, the standard of evidence to receive a Yes should be higher where Federal programs overlap with each other than where a Federal program overlaps with private, local, or State programs.  For example, two Federal programs to address training would face a high standard to receive a Yes to this question; in contrast, a Yes could be provided to a Federal program to address indigent medical care across the nation, even though there are many local and private programs that also address indigent medical care.  The key would be whether the gaps in the non-Federal provision are large enough to warrant a Federal program and whether the Federal program is well designed to mesh with non-Federal efforts and responsibilities. 
For credit programs, a Yes answer would require evidence of the market failure/absence or unwillingness of private-sector participation and an overview of the market, including all international, Federal, local, and private-sector participants. </t>
        </r>
        <r>
          <rPr>
            <b/>
            <sz val="9"/>
            <rFont val="Tahoma"/>
            <family val="2"/>
          </rPr>
          <t xml:space="preserve">
</t>
        </r>
        <r>
          <rPr>
            <sz val="9"/>
            <rFont val="Tahoma"/>
            <family val="2"/>
          </rPr>
          <t xml:space="preserve">
For R&amp;D programs, some degree of duplication is permissible, if it is well justified and coordinated.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past or present efforts.</t>
        </r>
        <r>
          <rPr>
            <b/>
            <sz val="9"/>
            <rFont val="Tahoma"/>
            <family val="2"/>
          </rPr>
          <t xml:space="preserve">
Evidence/Data: </t>
        </r>
        <r>
          <rPr>
            <sz val="9"/>
            <rFont val="Tahoma"/>
            <family val="2"/>
          </rPr>
          <t xml:space="preserve">evidence should identify duplicative programs and their total expenditures and/or a description of efforts supported by those programs that address a similar problem in a similar way as the program being evaluated. </t>
        </r>
        <r>
          <rPr>
            <b/>
            <sz val="9"/>
            <rFont val="Tahoma"/>
            <family val="2"/>
          </rPr>
          <t xml:space="preserve">
</t>
        </r>
      </text>
    </comment>
    <comment ref="A1" authorId="1">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A1" authorId="1">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A1" authorId="1">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A1" authorId="1">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A1" authorId="1">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A1" authorId="1">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36" authorId="0">
      <text>
        <r>
          <rPr>
            <b/>
            <sz val="9"/>
            <rFont val="Tahoma"/>
            <family val="2"/>
          </rPr>
          <t xml:space="preserve">3.1.  Does the agency regularly collect timely and credible performance information, including  information from key program partners, and use it to manage the program and improve performance?
Purpose of the question: </t>
        </r>
        <r>
          <rPr>
            <sz val="9"/>
            <rFont val="Tahoma"/>
            <family val="2"/>
          </rPr>
          <t xml:space="preserve">to determine whether the program collects data on performance and the performance of its partners and uses the data to inform program management, resource decisions, and program performance. 
</t>
        </r>
        <r>
          <rPr>
            <b/>
            <sz val="9"/>
            <rFont val="Tahoma"/>
            <family val="2"/>
          </rPr>
          <t xml:space="preserve">
Elements of a Yes answer: </t>
        </r>
        <r>
          <rPr>
            <sz val="9"/>
            <rFont val="Tahoma"/>
            <family val="2"/>
          </rPr>
          <t>a Yes answer would require that the program agency regularly collect high-quality performance data relating to key program goals and use that information to adjust program priorities, allocate resources,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reflects current performance and is current enough to be useful in program management.  Credible performance information is information that is collected through a systematic process with quality controls to confirm the validity of the data.
For capital assets and service acquisition programs, a consideration is whether the program uses an earned value management system or similar system. 
For credit programs, consider whether the agency or program managers regularly collect and update loan performance information to effectively and consistently manage the portfolios.
Some long-term basic research programs may not be able to define meaningful annual outcome performance measures, aside from process measures. In such cases, these programs may use process-related measures, especially those that can be conceptually linked to long-term research goals.</t>
        </r>
        <r>
          <rPr>
            <b/>
            <sz val="9"/>
            <rFont val="Tahoma"/>
            <family val="2"/>
          </rPr>
          <t xml:space="preserve">
Evidence/Data: </t>
        </r>
        <r>
          <rPr>
            <sz val="9"/>
            <rFont val="Tahoma"/>
            <family val="2"/>
          </rPr>
          <t>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t>
        </r>
        <r>
          <rPr>
            <sz val="10"/>
            <rFont val="Tahoma"/>
            <family val="2"/>
          </rPr>
          <t xml:space="preserve">
</t>
        </r>
        <r>
          <rPr>
            <sz val="8"/>
            <rFont val="Tahoma"/>
            <family val="2"/>
          </rPr>
          <t xml:space="preserve">
</t>
        </r>
      </text>
    </comment>
    <comment ref="C23" authorId="0">
      <text>
        <r>
          <rPr>
            <b/>
            <sz val="9"/>
            <rFont val="Tahoma"/>
            <family val="2"/>
          </rPr>
          <t xml:space="preserve">2.2  Does the program have ambitious targets and timeframes for its long-term measures?
Purpose of the question: </t>
        </r>
        <r>
          <rPr>
            <sz val="9"/>
            <rFont val="Tahoma"/>
            <family val="2"/>
          </rPr>
          <t>to determine if the program has challenging but realistic quantified targets and timeframes for the long-term measu</t>
        </r>
        <r>
          <rPr>
            <b/>
            <sz val="9"/>
            <rFont val="Tahoma"/>
            <family val="2"/>
          </rPr>
          <t xml:space="preserve">res.
Elements of a Yes answer: </t>
        </r>
        <r>
          <rPr>
            <sz val="9"/>
            <rFont val="Tahoma"/>
            <family val="2"/>
          </rPr>
          <t xml:space="preserve">a Yes answer would require that specific quantified targets have been developed for most long-term measures evaluated in Question 2.1.  (In rare cases where programs have targets that are not “quantitative,” they should still be verifiable -- e.g., possibly through a clean audit or outstanding ratings by an expert panel).  Baselines from which to measure these targets are encouraged for outcome measures and required for output measures.  These targets and timeframes must be ambitious, that is they must be set at a level that promotes continued improvement and achievable efficiencies.  The timeframes and timelines should encourage improvement but be within reason for the program to achieve.  
A No answer would be appropriate if quantified targets or timeframes are not included for key measures or if the targets or time frames are not ambitious or challenging. </t>
        </r>
        <r>
          <rPr>
            <b/>
            <sz val="9"/>
            <rFont val="Tahoma"/>
            <family val="2"/>
          </rPr>
          <t xml:space="preserve">If the program received a No in Question 2.1, the program must get a No for this question.  </t>
        </r>
        <r>
          <rPr>
            <sz val="9"/>
            <rFont val="Tahoma"/>
            <family val="2"/>
          </rPr>
          <t xml:space="preserve">Targets should be listed in the Measures tab of the PART worksheet.
Where relevant, a Yes answer would also require that a program has defined appropriate decision and termination points.
For R&amp;D programs, a Yes answer would require that the program provides multi-year R&amp;D objectives.  Where applicable, programs must provide schedules with annual milestones, highlighting any changes from previous schedules.  Program proposals must define what outcomes would represent a minimally effective program and a successful program.  </t>
        </r>
        <r>
          <rPr>
            <b/>
            <sz val="9"/>
            <rFont val="Tahoma"/>
            <family val="2"/>
          </rPr>
          <t xml:space="preserve">
Evidence/Data: </t>
        </r>
        <r>
          <rPr>
            <sz val="9"/>
            <rFont val="Tahoma"/>
            <family val="2"/>
          </rPr>
          <t>evidence will include targets that may be in the agency GPRA plan or other program document or as agreed to by OMB and will be included in the FY 2005 GPRA documents.</t>
        </r>
      </text>
    </comment>
    <comment ref="C25" authorId="0">
      <text>
        <r>
          <rPr>
            <b/>
            <sz val="9"/>
            <rFont val="Tahoma"/>
            <family val="2"/>
          </rPr>
          <t xml:space="preserve">2.4. Does the program have baselines and ambitious targets for its annual measures?
Purpose of the question: </t>
        </r>
        <r>
          <rPr>
            <sz val="9"/>
            <rFont val="Tahoma"/>
            <family val="2"/>
          </rPr>
          <t xml:space="preserve">to determine if the program has baselines and challenging but realistic quantified targets for the annual measures.
</t>
        </r>
        <r>
          <rPr>
            <b/>
            <sz val="9"/>
            <rFont val="Tahoma"/>
            <family val="2"/>
          </rPr>
          <t xml:space="preserve">
Elements of a Yes answer: </t>
        </r>
        <r>
          <rPr>
            <sz val="9"/>
            <rFont val="Tahoma"/>
            <family val="2"/>
          </rPr>
          <t xml:space="preserve">a Yes answer would generally require that baselines have been established for most of the annual measures evaluated in Question 2.3.  A Yes answer also requires that specific quantified targets have been developed for most of the program’s annual measures evaluated in Question 2.3.  These targets provide a specific value with which performance can be compared.  These targets must be ambitious, that is they must be set at levels that ensure continued improvement and realization of efficiencies.  They also should be within reason for the program to achieve.  
</t>
        </r>
        <r>
          <rPr>
            <b/>
            <sz val="9"/>
            <rFont val="Tahoma"/>
            <family val="2"/>
          </rPr>
          <t xml:space="preserve">
</t>
        </r>
        <r>
          <rPr>
            <sz val="9"/>
            <rFont val="Tahoma"/>
            <family val="2"/>
          </rPr>
          <t xml:space="preserve">A No answer would be appropriate if quantified targets or timeframes are not included for most measures or if the targets are not ambitious or challenging. </t>
        </r>
        <r>
          <rPr>
            <b/>
            <sz val="9"/>
            <rFont val="Tahoma"/>
            <family val="2"/>
          </rPr>
          <t xml:space="preserve"> If the program received a No in Question 2.3, the program must get a No for this question.  Targets should be listed in the Measures tab of the PART worksheet.
Evidence/Data: </t>
        </r>
        <r>
          <rPr>
            <sz val="9"/>
            <rFont val="Tahoma"/>
            <family val="2"/>
          </rPr>
          <t xml:space="preserve">evidence will include targets that may be in the agency GPRA plan or other program document or as agreed to by OMB and will be included in the FY 2005 GPRA documents.
</t>
        </r>
      </text>
    </comment>
    <comment ref="C37" authorId="2">
      <text>
        <r>
          <rPr>
            <b/>
            <sz val="9"/>
            <rFont val="Tahoma"/>
            <family val="2"/>
          </rPr>
          <t xml:space="preserve">3.2  Are Federal managers and program partners (including grantees, sub-grantees, contractors, cost-sharing partners, and other government partners)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In the case of block and formula grant programs, elements of a Yes are not confined to complying with the law.  Elements of a Yes can include the presence of incentives for managers and program partners that would encourage corrections in deficient programs.  For block-grant programs which support a wide range of purposes and allow grantees to set their own program priorities, this question should be interpreted as whether the grantees hold managers accountable and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
Evidence/Data: e</t>
        </r>
        <r>
          <rPr>
            <sz val="9"/>
            <rFont val="Tahoma"/>
            <family val="2"/>
          </rPr>
          <t xml:space="preserv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sz val="8"/>
            <rFont val="Tahoma"/>
            <family val="2"/>
          </rPr>
          <t xml:space="preserve">
</t>
        </r>
        <r>
          <rPr>
            <b/>
            <sz val="8"/>
            <rFont val="Tahoma"/>
            <family val="0"/>
          </rPr>
          <t xml:space="preserve">
</t>
        </r>
        <r>
          <rPr>
            <sz val="8"/>
            <rFont val="Tahoma"/>
            <family val="0"/>
          </rPr>
          <t xml:space="preserve">
</t>
        </r>
      </text>
    </comment>
    <comment ref="C38" authorId="2">
      <text>
        <r>
          <rPr>
            <b/>
            <sz val="9"/>
            <rFont val="Tahoma"/>
            <family val="2"/>
          </rPr>
          <t xml:space="preserve">3.3  Are funds (Federal and partners’) obligated in a timely manner and spent for the intended purpose?
Purpose of the question: </t>
        </r>
        <r>
          <rPr>
            <sz val="9"/>
            <rFont val="Tahoma"/>
            <family val="2"/>
          </rPr>
          <t xml:space="preserve">to determine whether funds are administered efficiently and obligated in accordance with planned schedules and spent for the intended purposes.
 </t>
        </r>
        <r>
          <rPr>
            <b/>
            <sz val="9"/>
            <rFont val="Tahoma"/>
            <family val="2"/>
          </rPr>
          <t xml:space="preserve">
Elements of a Yes answer:</t>
        </r>
        <r>
          <rPr>
            <sz val="9"/>
            <rFont val="Tahoma"/>
            <family val="2"/>
          </rPr>
          <t xml:space="preserve"> 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properly correspond to the resource needs of the program plan.  In addition, a Yes answer requires that adequate procedures exist for reporting actual expenditures, comparing them against the intended use, and taking timely and appropriate action to correct single audit findings when funds are not spent as intended.  
A program would receive a No if it had significant erroneous payments or was in violation of the Anti-Deficiency Act.
</t>
        </r>
        <r>
          <rPr>
            <b/>
            <sz val="9"/>
            <rFont val="Tahoma"/>
            <family val="2"/>
          </rPr>
          <t xml:space="preserve">
Evidence/Data: </t>
        </r>
        <r>
          <rPr>
            <sz val="9"/>
            <rFont val="Tahoma"/>
            <family val="2"/>
          </rPr>
          <t xml:space="preserve">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
</t>
        </r>
      </text>
    </comment>
    <comment ref="C39" authorId="2">
      <text>
        <r>
          <rPr>
            <b/>
            <sz val="9"/>
            <rFont val="Tahoma"/>
            <family val="2"/>
          </rPr>
          <t xml:space="preserve">3.4. Does the program have procedures (e.g., competitive sourcing/cost comparisons, IT improvements, appropriate incentives) to measure and achieve efficiencies and cost effectiveness in program execution?
Purpose of the question: </t>
        </r>
        <r>
          <rPr>
            <sz val="9"/>
            <rFont val="Tahoma"/>
            <family val="2"/>
          </rPr>
          <t xml:space="preserve">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per-unit cost of outputs, timing targets, and other indicators of efficient and productive processes germane to the program. A de-layered management structure that empowers front line managers and that has undergone competitive sourcing (if necessary) would also contribute to a Yes answer. For mandatory programs, a Yes could require the program to seek policies (e.g., through review of proposals from States) that would reduce unit costs.  Also consider if, where possible, there is cross-program and inter-agency coordination on IT issues to avoid redundancies.
For R&amp;D programs, efficiency measures can include program overhead costs, average times to fund competitive awards, etc.
</t>
        </r>
        <r>
          <rPr>
            <b/>
            <sz val="9"/>
            <rFont val="Tahoma"/>
            <family val="2"/>
          </rPr>
          <t xml:space="preserve">
Evidence/Data: </t>
        </r>
        <r>
          <rPr>
            <sz val="9"/>
            <rFont val="Tahoma"/>
            <family val="2"/>
          </rPr>
          <t xml:space="preserve">evidence can include efficiency measures, competitive-sourcing plans, and IT improvement plans designed to produce tangible productivity and efficiency gains, or IT business cases that document how particular projects improve efficiency.
</t>
        </r>
        <r>
          <rPr>
            <sz val="8"/>
            <rFont val="Tahoma"/>
            <family val="2"/>
          </rPr>
          <t xml:space="preserve">
</t>
        </r>
      </text>
    </comment>
    <comment ref="C40" authorId="2">
      <text>
        <r>
          <rPr>
            <b/>
            <sz val="9"/>
            <rFont val="Tahoma"/>
            <family val="2"/>
          </rPr>
          <t xml:space="preserve">3.5. Does the program collaborate and coordinate effectively with related programs?
Purpose of the question:  </t>
        </r>
        <r>
          <rPr>
            <sz val="9"/>
            <rFont val="Tahoma"/>
            <family val="2"/>
          </rPr>
          <t>to determine whether a Federal program collaborates with other related program(s) in a meaningful way.</t>
        </r>
        <r>
          <rPr>
            <b/>
            <sz val="9"/>
            <rFont val="Tahoma"/>
            <family val="2"/>
          </rPr>
          <t xml:space="preserve">
Elements of a Yes answer:  </t>
        </r>
        <r>
          <rPr>
            <sz val="9"/>
            <rFont val="Tahoma"/>
            <family val="2"/>
          </rPr>
          <t xml:space="preserve">a Yes answer would require that the program collaborate with related Federal programs and, to the extent appropriate or possible, with related State, local, and private programs.  A Yes answer would require that the program show evidence of collaboration leading to meaningful actions in management and resource allocation.  For example, the existence of a coordinating council would not by itself constitute meaningful collaboration.  (This question applies to programs that have interrelated, but separately budgeted, efforts.  An example of an interrelated Federal program is the shared effort of the Department of Veterans Affairs and the Medicare Program to provide care for aging veterans.)
</t>
        </r>
        <r>
          <rPr>
            <b/>
            <sz val="9"/>
            <rFont val="Tahoma"/>
            <family val="2"/>
          </rPr>
          <t xml:space="preserve">
Evidence/Data:  </t>
        </r>
        <r>
          <rPr>
            <sz val="9"/>
            <rFont val="Tahoma"/>
            <family val="2"/>
          </rPr>
          <t>evidence of meaningful collaboration could include joint grant announcements, planning documents, performance goals, or referral systems.</t>
        </r>
        <r>
          <rPr>
            <sz val="10"/>
            <rFont val="Tahoma"/>
            <family val="2"/>
          </rPr>
          <t xml:space="preserve">
</t>
        </r>
        <r>
          <rPr>
            <sz val="8"/>
            <rFont val="Tahoma"/>
            <family val="2"/>
          </rPr>
          <t xml:space="preserve">
</t>
        </r>
      </text>
    </comment>
    <comment ref="C41" authorId="2">
      <text>
        <r>
          <rPr>
            <b/>
            <sz val="9"/>
            <rFont val="Tahoma"/>
            <family val="2"/>
          </rPr>
          <t xml:space="preserve">3.6. Does the program use strong financial management practices?
Purpose of the question: </t>
        </r>
        <r>
          <rPr>
            <sz val="9"/>
            <rFont val="Tahoma"/>
            <family val="2"/>
          </rPr>
          <t>to determine whether the program uses effective financial management practices in administering program funds.</t>
        </r>
        <r>
          <rPr>
            <b/>
            <sz val="9"/>
            <rFont val="Tahoma"/>
            <family val="2"/>
          </rPr>
          <t xml:space="preserve">
Elements of a Yes answer: </t>
        </r>
        <r>
          <rPr>
            <sz val="9"/>
            <rFont val="Tahoma"/>
            <family val="2"/>
          </rPr>
          <t>a Yes answer would require that the program be free of material internal control weaknesses reported by auditors. Additional criteria could include whether: 
· the program has procedures in place to ensure that payments are made properly for the intended purpose to minimize erroneous payments,
· financial management systems meet statutory requirements,
· financial information is accurate and timely,
· integrated financial and performance systems support day-to-day operations, and
· financial statements receive a clean audit opinion and have no material internal control weaknesses.
If an agency-wide material weakness exists that is unrelated to the program, then a Yes response would be appropriate.  However, if an agency-wide material weakness has a direct relation to the program (e.g., a lack of systems that support day-to-day operations), then the program would receive a No for this question.
For block-grant programs which support a wide range of purposes and allow grantees to set their own program priorities, a Yes answer should also require that grantees (e.g., States and localities) accomplish these tasks.
For credit programs, a Yes answer would also require that the program consistently meets the requirements of the Fede</t>
        </r>
        <r>
          <rPr>
            <b/>
            <sz val="9"/>
            <rFont val="Tahoma"/>
            <family val="2"/>
          </rPr>
          <t xml:space="preserve">ral Credit Reform Act of 1990, the Debt Collection Improvement Act and applicable guidance under OMB Circular A-129.
Evidence/Data: </t>
        </r>
        <r>
          <rPr>
            <sz val="9"/>
            <rFont val="Tahoma"/>
            <family val="2"/>
          </rPr>
          <t>evidence can include recent audit reports and existence of procedures to identify the above-listed criteria, such as the ability to measure improper payments.
For credit programs, evidence can include actual reports detailing the performance of the agency’s portfolio management, subsidy calculations, re-estimates, modifications, etc.  Other evidence can include independent evaluations of the program’s performance.</t>
        </r>
        <r>
          <rPr>
            <b/>
            <sz val="9"/>
            <rFont val="Tahoma"/>
            <family val="2"/>
          </rPr>
          <t xml:space="preserve">
</t>
        </r>
        <r>
          <rPr>
            <sz val="8"/>
            <rFont val="Tahoma"/>
            <family val="0"/>
          </rPr>
          <t xml:space="preserve">
</t>
        </r>
      </text>
    </comment>
    <comment ref="C42" authorId="2">
      <text>
        <r>
          <rPr>
            <b/>
            <sz val="9"/>
            <rFont val="Tahoma"/>
            <family val="2"/>
          </rPr>
          <t xml:space="preserve">3.7. Has the program taken meaningful steps to address its management deficiencies?
Purpose of the question: </t>
        </r>
        <r>
          <rPr>
            <sz val="9"/>
            <rFont val="Tahoma"/>
            <family val="2"/>
          </rPr>
          <t>to determine whether the program has developed a system of evaluating program management and correcting deficiencies when they are identified.  This question should include, but is not limited to, financial management or other Presidential Management Agenda deficiencies.  However, the focus of the question is program-level deficiencies, as opposed to agency-level deficiencies that may not directly affect the program.</t>
        </r>
        <r>
          <rPr>
            <b/>
            <sz val="9"/>
            <rFont val="Tahoma"/>
            <family val="2"/>
          </rPr>
          <t xml:space="preserve">
Elements of a Yes answer: </t>
        </r>
        <r>
          <rPr>
            <sz val="9"/>
            <rFont val="Tahoma"/>
            <family val="2"/>
          </rPr>
          <t xml:space="preserve">a Yes answer would require that the program has a system for identifying and correcting program management deficiencies and uses the system to make necessary corrections.  A program that does not review program management activities and make corrections to eliminate identified deficiencies would receive a No.
</t>
        </r>
        <r>
          <rPr>
            <b/>
            <sz val="9"/>
            <rFont val="Tahoma"/>
            <family val="2"/>
          </rPr>
          <t xml:space="preserve">
Evidence/Data:</t>
        </r>
        <r>
          <rPr>
            <sz val="9"/>
            <rFont val="Tahoma"/>
            <family val="2"/>
          </rPr>
          <t xml:space="preserve"> evidence can include a description of how deficiencies in the program management are identified and corrected as well as examples of such changes.</t>
        </r>
        <r>
          <rPr>
            <b/>
            <sz val="8"/>
            <rFont val="Tahoma"/>
            <family val="0"/>
          </rPr>
          <t xml:space="preserve">
</t>
        </r>
      </text>
    </comment>
    <comment ref="C43" authorId="3">
      <text>
        <r>
          <rPr>
            <b/>
            <sz val="8"/>
            <rFont val="Tahoma"/>
            <family val="0"/>
          </rPr>
          <t xml:space="preserve">3.BF1.  Does the program have oversight practices that provide sufficient knowledge of grantee activities?
Purpose of the question: </t>
        </r>
        <r>
          <rPr>
            <sz val="8"/>
            <rFont val="Tahoma"/>
            <family val="2"/>
          </rPr>
          <t>to determine whether or not the program has an understanding of how its funds are utilized by grantees.</t>
        </r>
        <r>
          <rPr>
            <b/>
            <sz val="8"/>
            <rFont val="Tahoma"/>
            <family val="0"/>
          </rPr>
          <t xml:space="preserve">
Elements of a Yes answer: </t>
        </r>
        <r>
          <rPr>
            <sz val="8"/>
            <rFont val="Tahoma"/>
            <family val="2"/>
          </rPr>
          <t xml:space="preserve">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t>
        </r>
        <r>
          <rPr>
            <b/>
            <sz val="8"/>
            <rFont val="Tahoma"/>
            <family val="0"/>
          </rPr>
          <t xml:space="preserve">
</t>
        </r>
        <r>
          <rPr>
            <sz val="8"/>
            <rFont val="Tahoma"/>
            <family val="2"/>
          </rPr>
          <t xml:space="preserve">A program with no reporting system to track expenditures by grantees would receive a No. 
</t>
        </r>
        <r>
          <rPr>
            <b/>
            <sz val="8"/>
            <rFont val="Tahoma"/>
            <family val="0"/>
          </rPr>
          <t xml:space="preserve">
Evidence/Data: </t>
        </r>
        <r>
          <rPr>
            <sz val="8"/>
            <rFont val="Tahoma"/>
            <family val="2"/>
          </rPr>
          <t xml:space="preserve">evidence can include the reporting structure, oversight techniques, audit or site visit schedule, and/or an assessment of program data quality.
</t>
        </r>
        <r>
          <rPr>
            <b/>
            <sz val="8"/>
            <rFont val="Tahoma"/>
            <family val="0"/>
          </rPr>
          <t xml:space="preserve">
</t>
        </r>
      </text>
    </comment>
  </commentList>
</comments>
</file>

<file path=xl/comments3.xml><?xml version="1.0" encoding="utf-8"?>
<comments xmlns="http://schemas.openxmlformats.org/spreadsheetml/2006/main">
  <authors>
    <author>Krista Tibbs</author>
  </authors>
  <commentList>
    <comment ref="E13" authorId="0">
      <text>
        <r>
          <rPr>
            <b/>
            <sz val="8"/>
            <rFont val="Tahoma"/>
            <family val="2"/>
          </rPr>
          <t xml:space="preserve">Measure: </t>
        </r>
        <r>
          <rPr>
            <sz val="8"/>
            <rFont val="Tahoma"/>
            <family val="0"/>
          </rPr>
          <t xml:space="preserve">This text should be a succinct phrase that is stated as a measure, not a goal. For example, use "Rate of death from fire" as opposed to "Reduce rate of death from fire". By filling in the cell for the target, the specific goal will be evident.
</t>
        </r>
      </text>
    </comment>
    <comment ref="F13" authorId="0">
      <text>
        <r>
          <rPr>
            <b/>
            <sz val="8"/>
            <rFont val="Tahoma"/>
            <family val="0"/>
          </rPr>
          <t xml:space="preserve">Explanation of Measure: </t>
        </r>
        <r>
          <rPr>
            <sz val="8"/>
            <rFont val="Tahoma"/>
            <family val="2"/>
          </rPr>
          <t xml:space="preserve">This cell may be left blank. It is available for explanatory text that may be necessary to understand the measure as presented in the budget. </t>
        </r>
      </text>
    </comment>
    <comment ref="E20" authorId="0">
      <text>
        <r>
          <rPr>
            <b/>
            <sz val="8"/>
            <rFont val="Tahoma"/>
            <family val="2"/>
          </rPr>
          <t xml:space="preserve">Measure: </t>
        </r>
        <r>
          <rPr>
            <sz val="8"/>
            <rFont val="Tahoma"/>
            <family val="0"/>
          </rPr>
          <t xml:space="preserve">This text should be a succinct phrase that is stated as a measure, not a goal. For example, use "Rate of death from fire" as opposed to "Reduce rate of death from fire". By filling in the cell for the target, the specific goal will be evident.
</t>
        </r>
      </text>
    </comment>
    <comment ref="F20" authorId="0">
      <text>
        <r>
          <rPr>
            <b/>
            <sz val="8"/>
            <rFont val="Tahoma"/>
            <family val="0"/>
          </rPr>
          <t xml:space="preserve">Explanation of Measure: </t>
        </r>
        <r>
          <rPr>
            <sz val="8"/>
            <rFont val="Tahoma"/>
            <family val="2"/>
          </rPr>
          <t xml:space="preserve">This cell may be left blank. It is available for explanatory text that may be necessary to understand the measure as presented in the budget. </t>
        </r>
      </text>
    </comment>
    <comment ref="E34" authorId="0">
      <text>
        <r>
          <rPr>
            <b/>
            <sz val="8"/>
            <rFont val="Tahoma"/>
            <family val="2"/>
          </rPr>
          <t xml:space="preserve">Measure: </t>
        </r>
        <r>
          <rPr>
            <sz val="8"/>
            <rFont val="Tahoma"/>
            <family val="0"/>
          </rPr>
          <t xml:space="preserve">This text should be a succinct phrase that is stated as a measure, not a goal. For example, use "Rate of death from fire" as opposed to "Reduce rate of death from fire". By filling in the cell for the target, the specific goal will be evident.
</t>
        </r>
      </text>
    </comment>
    <comment ref="F34" authorId="0">
      <text>
        <r>
          <rPr>
            <b/>
            <sz val="8"/>
            <rFont val="Tahoma"/>
            <family val="0"/>
          </rPr>
          <t xml:space="preserve">Explanation of Measure: </t>
        </r>
        <r>
          <rPr>
            <sz val="8"/>
            <rFont val="Tahoma"/>
            <family val="2"/>
          </rPr>
          <t xml:space="preserve">This cell may be left blank. It is available for explanatory text that may be necessary to understand the measure as presented in the budget. </t>
        </r>
      </text>
    </comment>
    <comment ref="E41" authorId="0">
      <text>
        <r>
          <rPr>
            <b/>
            <sz val="8"/>
            <rFont val="Tahoma"/>
            <family val="2"/>
          </rPr>
          <t xml:space="preserve">Measure: </t>
        </r>
        <r>
          <rPr>
            <sz val="8"/>
            <rFont val="Tahoma"/>
            <family val="0"/>
          </rPr>
          <t xml:space="preserve">This text should be a succinct phrase that is stated as a measure, not a goal. For example, use "Rate of death from fire" as opposed to "Reduce rate of death from fire". By filling in the cell for the target, the specific goal will be evident.
</t>
        </r>
      </text>
    </comment>
    <comment ref="F41" authorId="0">
      <text>
        <r>
          <rPr>
            <b/>
            <sz val="8"/>
            <rFont val="Tahoma"/>
            <family val="0"/>
          </rPr>
          <t xml:space="preserve">Explanation of Measure: </t>
        </r>
        <r>
          <rPr>
            <sz val="8"/>
            <rFont val="Tahoma"/>
            <family val="2"/>
          </rPr>
          <t xml:space="preserve">This cell may be left blank. It is available for explanatory text that may be necessary to understand the measure as presented in the budget. </t>
        </r>
      </text>
    </comment>
    <comment ref="E48" authorId="0">
      <text>
        <r>
          <rPr>
            <b/>
            <sz val="8"/>
            <rFont val="Tahoma"/>
            <family val="2"/>
          </rPr>
          <t xml:space="preserve">Measure: </t>
        </r>
        <r>
          <rPr>
            <sz val="8"/>
            <rFont val="Tahoma"/>
            <family val="0"/>
          </rPr>
          <t xml:space="preserve">This text should be a succinct phrase that is stated as a measure, not a goal. For example, use "Rate of death from fire" as opposed to "Reduce rate of death from fire". By filling in the cell for the target, the specific goal will be evident.
</t>
        </r>
      </text>
    </comment>
    <comment ref="F48" authorId="0">
      <text>
        <r>
          <rPr>
            <b/>
            <sz val="8"/>
            <rFont val="Tahoma"/>
            <family val="0"/>
          </rPr>
          <t xml:space="preserve">Explanation of Measure: </t>
        </r>
        <r>
          <rPr>
            <sz val="8"/>
            <rFont val="Tahoma"/>
            <family val="2"/>
          </rPr>
          <t xml:space="preserve">This cell may be left blank. It is available for explanatory text that may be necessary to understand the measure as presented in the budget. </t>
        </r>
      </text>
    </comment>
    <comment ref="E55" authorId="0">
      <text>
        <r>
          <rPr>
            <b/>
            <sz val="8"/>
            <rFont val="Tahoma"/>
            <family val="2"/>
          </rPr>
          <t xml:space="preserve">Measure: </t>
        </r>
        <r>
          <rPr>
            <sz val="8"/>
            <rFont val="Tahoma"/>
            <family val="0"/>
          </rPr>
          <t xml:space="preserve">This text should be a succinct phrase that is stated as a measure, not a goal. For example, use "Rate of death from fire" as opposed to "Reduce rate of death from fire". By filling in the cell for the target, the specific goal will be evident.
</t>
        </r>
      </text>
    </comment>
    <comment ref="F55" authorId="0">
      <text>
        <r>
          <rPr>
            <b/>
            <sz val="8"/>
            <rFont val="Tahoma"/>
            <family val="0"/>
          </rPr>
          <t xml:space="preserve">Explanation of Measure: </t>
        </r>
        <r>
          <rPr>
            <sz val="8"/>
            <rFont val="Tahoma"/>
            <family val="2"/>
          </rPr>
          <t xml:space="preserve">This cell may be left blank. It is available for explanatory text that may be necessary to understand the measure as presented in the budget. </t>
        </r>
      </text>
    </comment>
    <comment ref="E62" authorId="0">
      <text>
        <r>
          <rPr>
            <b/>
            <sz val="8"/>
            <rFont val="Tahoma"/>
            <family val="2"/>
          </rPr>
          <t xml:space="preserve">Measure: </t>
        </r>
        <r>
          <rPr>
            <sz val="8"/>
            <rFont val="Tahoma"/>
            <family val="0"/>
          </rPr>
          <t xml:space="preserve">This text should be a succinct phrase that is stated as a measure, not a goal. For example, use "Rate of death from fire" as opposed to "Reduce rate of death from fire". By filling in the cell for the target, the specific goal will be evident.
</t>
        </r>
      </text>
    </comment>
    <comment ref="F62" authorId="0">
      <text>
        <r>
          <rPr>
            <b/>
            <sz val="8"/>
            <rFont val="Tahoma"/>
            <family val="0"/>
          </rPr>
          <t xml:space="preserve">Explanation of Measure: </t>
        </r>
        <r>
          <rPr>
            <sz val="8"/>
            <rFont val="Tahoma"/>
            <family val="2"/>
          </rPr>
          <t xml:space="preserve">This cell may be left blank. It is available for explanatory text that may be necessary to understand the measure as presented in the budget. </t>
        </r>
      </text>
    </comment>
    <comment ref="E69" authorId="0">
      <text>
        <r>
          <rPr>
            <b/>
            <sz val="8"/>
            <rFont val="Tahoma"/>
            <family val="2"/>
          </rPr>
          <t xml:space="preserve">Measure: </t>
        </r>
        <r>
          <rPr>
            <sz val="8"/>
            <rFont val="Tahoma"/>
            <family val="0"/>
          </rPr>
          <t xml:space="preserve">This text should be a succinct phrase that is stated as a measure, not a goal. For example, use "Rate of death from fire" as opposed to "Reduce rate of death from fire". By filling in the cell for the target, the specific goal will be evident.
</t>
        </r>
      </text>
    </comment>
    <comment ref="F69" authorId="0">
      <text>
        <r>
          <rPr>
            <b/>
            <sz val="8"/>
            <rFont val="Tahoma"/>
            <family val="0"/>
          </rPr>
          <t xml:space="preserve">Explanation of Measure: </t>
        </r>
        <r>
          <rPr>
            <sz val="8"/>
            <rFont val="Tahoma"/>
            <family val="2"/>
          </rPr>
          <t xml:space="preserve">This cell may be left blank. It is available for explanatory text that may be necessary to understand the measure as presented in the budget. </t>
        </r>
      </text>
    </comment>
    <comment ref="E76" authorId="0">
      <text>
        <r>
          <rPr>
            <b/>
            <sz val="8"/>
            <rFont val="Tahoma"/>
            <family val="2"/>
          </rPr>
          <t xml:space="preserve">Measure: </t>
        </r>
        <r>
          <rPr>
            <sz val="8"/>
            <rFont val="Tahoma"/>
            <family val="0"/>
          </rPr>
          <t xml:space="preserve">This text should be a succinct phrase that is stated as a measure, not a goal. For example, use "Rate of death from fire" as opposed to "Reduce rate of death from fire". By filling in the cell for the target, the specific goal will be evident.
</t>
        </r>
      </text>
    </comment>
    <comment ref="F76" authorId="0">
      <text>
        <r>
          <rPr>
            <b/>
            <sz val="8"/>
            <rFont val="Tahoma"/>
            <family val="0"/>
          </rPr>
          <t xml:space="preserve">Explanation of Measure: </t>
        </r>
        <r>
          <rPr>
            <sz val="8"/>
            <rFont val="Tahoma"/>
            <family val="2"/>
          </rPr>
          <t xml:space="preserve">This cell may be left blank. It is available for explanatory text that may be necessary to understand the measure as presented in the budget. </t>
        </r>
      </text>
    </comment>
    <comment ref="E83" authorId="0">
      <text>
        <r>
          <rPr>
            <b/>
            <sz val="8"/>
            <rFont val="Tahoma"/>
            <family val="2"/>
          </rPr>
          <t xml:space="preserve">Measure: </t>
        </r>
        <r>
          <rPr>
            <sz val="8"/>
            <rFont val="Tahoma"/>
            <family val="0"/>
          </rPr>
          <t xml:space="preserve">This text should be a succinct phrase that is stated as a measure, not a goal. For example, use "Rate of death from fire" as opposed to "Reduce rate of death from fire". By filling in the cell for the target, the specific goal will be evident.
</t>
        </r>
      </text>
    </comment>
    <comment ref="F83" authorId="0">
      <text>
        <r>
          <rPr>
            <b/>
            <sz val="8"/>
            <rFont val="Tahoma"/>
            <family val="0"/>
          </rPr>
          <t xml:space="preserve">Explanation of Measure: </t>
        </r>
        <r>
          <rPr>
            <sz val="8"/>
            <rFont val="Tahoma"/>
            <family val="2"/>
          </rPr>
          <t xml:space="preserve">This cell may be left blank. It is available for explanatory text that may be necessary to understand the measure as presented in the budget. </t>
        </r>
      </text>
    </comment>
    <comment ref="E90" authorId="0">
      <text>
        <r>
          <rPr>
            <b/>
            <sz val="8"/>
            <rFont val="Tahoma"/>
            <family val="2"/>
          </rPr>
          <t xml:space="preserve">Measure: </t>
        </r>
        <r>
          <rPr>
            <sz val="8"/>
            <rFont val="Tahoma"/>
            <family val="0"/>
          </rPr>
          <t xml:space="preserve">This text should be a succinct phrase that is stated as a measure, not a goal. For example, use "Rate of death from fire" as opposed to "Reduce rate of death from fire". By filling in the cell for the target, the specific goal will be evident.
</t>
        </r>
      </text>
    </comment>
    <comment ref="F90" authorId="0">
      <text>
        <r>
          <rPr>
            <b/>
            <sz val="8"/>
            <rFont val="Tahoma"/>
            <family val="0"/>
          </rPr>
          <t xml:space="preserve">Explanation of Measure: </t>
        </r>
        <r>
          <rPr>
            <sz val="8"/>
            <rFont val="Tahoma"/>
            <family val="2"/>
          </rPr>
          <t xml:space="preserve">This cell may be left blank. It is available for explanatory text that may be necessary to understand the measure as presented in the budget. </t>
        </r>
      </text>
    </comment>
    <comment ref="E97" authorId="0">
      <text>
        <r>
          <rPr>
            <b/>
            <sz val="8"/>
            <rFont val="Tahoma"/>
            <family val="2"/>
          </rPr>
          <t xml:space="preserve">Measure: </t>
        </r>
        <r>
          <rPr>
            <sz val="8"/>
            <rFont val="Tahoma"/>
            <family val="0"/>
          </rPr>
          <t xml:space="preserve">This text should be a succinct phrase that is stated as a measure, not a goal. For example, use "Rate of death from fire" as opposed to "Reduce rate of death from fire". By filling in the cell for the target, the specific goal will be evident.
</t>
        </r>
      </text>
    </comment>
    <comment ref="F97" authorId="0">
      <text>
        <r>
          <rPr>
            <b/>
            <sz val="8"/>
            <rFont val="Tahoma"/>
            <family val="0"/>
          </rPr>
          <t xml:space="preserve">Explanation of Measure: </t>
        </r>
        <r>
          <rPr>
            <sz val="8"/>
            <rFont val="Tahoma"/>
            <family val="2"/>
          </rPr>
          <t xml:space="preserve">This cell may be left blank. It is available for explanatory text that may be necessary to understand the measure as presented in the budget. </t>
        </r>
      </text>
    </comment>
    <comment ref="E151" authorId="0">
      <text>
        <r>
          <rPr>
            <b/>
            <sz val="8"/>
            <rFont val="Tahoma"/>
            <family val="2"/>
          </rPr>
          <t xml:space="preserve">Measure: </t>
        </r>
        <r>
          <rPr>
            <sz val="8"/>
            <rFont val="Tahoma"/>
            <family val="0"/>
          </rPr>
          <t xml:space="preserve">This text should be a succinct phrase that is stated as a measure, not a goal. For example, use "Rate of death from fire" as opposed to "Reduce rate of death from fire". By filling in the cell for the target, the specific goal will be evident.
</t>
        </r>
      </text>
    </comment>
    <comment ref="F151" authorId="0">
      <text>
        <r>
          <rPr>
            <b/>
            <sz val="8"/>
            <rFont val="Tahoma"/>
            <family val="0"/>
          </rPr>
          <t xml:space="preserve">Explanation of Measure: </t>
        </r>
        <r>
          <rPr>
            <sz val="8"/>
            <rFont val="Tahoma"/>
            <family val="2"/>
          </rPr>
          <t xml:space="preserve">This cell may be left blank. It is available for explanatory text that may be necessary to understand the measure as presented in the budget. </t>
        </r>
      </text>
    </comment>
    <comment ref="E104" authorId="0">
      <text>
        <r>
          <rPr>
            <b/>
            <sz val="8"/>
            <rFont val="Tahoma"/>
            <family val="2"/>
          </rPr>
          <t xml:space="preserve">Measure: </t>
        </r>
        <r>
          <rPr>
            <sz val="8"/>
            <rFont val="Tahoma"/>
            <family val="0"/>
          </rPr>
          <t xml:space="preserve">This text should be a succinct phrase that is stated as a measure, not a goal. For example, use "Rate of death from fire" as opposed to "Reduce rate of death from fire". By filling in the cell for the target, the specific goal will be evident.
</t>
        </r>
      </text>
    </comment>
    <comment ref="F104" authorId="0">
      <text>
        <r>
          <rPr>
            <b/>
            <sz val="8"/>
            <rFont val="Tahoma"/>
            <family val="0"/>
          </rPr>
          <t xml:space="preserve">Explanation of Measure: </t>
        </r>
        <r>
          <rPr>
            <sz val="8"/>
            <rFont val="Tahoma"/>
            <family val="2"/>
          </rPr>
          <t xml:space="preserve">This cell may be left blank. It is available for explanatory text that may be necessary to understand the measure as presented in the budget. </t>
        </r>
      </text>
    </comment>
    <comment ref="E21" authorId="0">
      <text>
        <r>
          <rPr>
            <b/>
            <sz val="8"/>
            <rFont val="Tahoma"/>
            <family val="2"/>
          </rPr>
          <t xml:space="preserve">Measure: </t>
        </r>
        <r>
          <rPr>
            <sz val="8"/>
            <rFont val="Tahoma"/>
            <family val="0"/>
          </rPr>
          <t xml:space="preserve">This text should be a succinct phrase that is stated as a measure, not a goal. For example, use "Rate of death from fire" as opposed to "Reduce rate of death from fire". By filling in the cell for the target, the specific goal will be evident.
</t>
        </r>
      </text>
    </comment>
    <comment ref="F21" authorId="0">
      <text>
        <r>
          <rPr>
            <b/>
            <sz val="8"/>
            <rFont val="Tahoma"/>
            <family val="0"/>
          </rPr>
          <t xml:space="preserve">Explanation of Measure: </t>
        </r>
        <r>
          <rPr>
            <sz val="8"/>
            <rFont val="Tahoma"/>
            <family val="2"/>
          </rPr>
          <t xml:space="preserve">This cell may be left blank. It is available for explanatory text that may be necessary to understand the measure as presented in the budget. </t>
        </r>
      </text>
    </comment>
    <comment ref="E28" authorId="0">
      <text>
        <r>
          <rPr>
            <b/>
            <sz val="8"/>
            <rFont val="Tahoma"/>
            <family val="2"/>
          </rPr>
          <t xml:space="preserve">Measure: </t>
        </r>
        <r>
          <rPr>
            <sz val="8"/>
            <rFont val="Tahoma"/>
            <family val="0"/>
          </rPr>
          <t xml:space="preserve">This text should be a succinct phrase that is stated as a measure, not a goal. For example, use "Rate of death from fire" as opposed to "Reduce rate of death from fire". By filling in the cell for the target, the specific goal will be evident.
</t>
        </r>
      </text>
    </comment>
    <comment ref="F28" authorId="0">
      <text>
        <r>
          <rPr>
            <b/>
            <sz val="8"/>
            <rFont val="Tahoma"/>
            <family val="0"/>
          </rPr>
          <t xml:space="preserve">Explanation of Measure: </t>
        </r>
        <r>
          <rPr>
            <sz val="8"/>
            <rFont val="Tahoma"/>
            <family val="2"/>
          </rPr>
          <t xml:space="preserve">This cell may be left blank. It is available for explanatory text that may be necessary to understand the measure as presented in the budget. </t>
        </r>
      </text>
    </comment>
  </commentList>
</comments>
</file>

<file path=xl/comments6.xml><?xml version="1.0" encoding="utf-8"?>
<comments xmlns="http://schemas.openxmlformats.org/spreadsheetml/2006/main">
  <authors>
    <author>STRASSER_J</author>
    <author>Bob Kilpatrick by Krista Tibbs</author>
  </authors>
  <commentList>
    <comment ref="C4" authorId="0">
      <text>
        <r>
          <rPr>
            <b/>
            <sz val="9"/>
            <rFont val="Tahoma"/>
            <family val="2"/>
          </rPr>
          <t xml:space="preserve">2.CA1. Has the agency/program conducted a recent, meaningful, credible analysis of alternatives that includes trade-offs between cost, schedule, risk, and performance goals and used the results to guide the resulting activity?
Purpose of the question: </t>
        </r>
        <r>
          <rPr>
            <sz val="9"/>
            <rFont val="Tahoma"/>
            <family val="2"/>
          </rPr>
          <t xml:space="preserve">to determine whether the agency is investing in an asset or service that provides the best value to the government. 
</t>
        </r>
        <r>
          <rPr>
            <b/>
            <sz val="9"/>
            <rFont val="Tahoma"/>
            <family val="2"/>
          </rPr>
          <t xml:space="preserve">
Elements of a Yes answer: </t>
        </r>
        <r>
          <rPr>
            <sz val="9"/>
            <rFont val="Tahoma"/>
            <family val="2"/>
          </rPr>
          <t xml:space="preserve">to receive a Yes rating, the agency should have conducted an analysis of alternatives and use that analysis. The analysis should include the status quo, non-material solutions (e.g., data compression in lieu of a new data cable), and trade-offs between cost, schedule, and performance goals.  The program should be able to demonstrate that the analysis is credible (e.g., by having it reviewed and validated by an independent entity outside the program).  If an independent entity’s analysis differs from the program’s analysis, the program should defend differences.  
</t>
        </r>
        <r>
          <rPr>
            <b/>
            <sz val="9"/>
            <rFont val="Tahoma"/>
            <family val="2"/>
          </rPr>
          <t xml:space="preserve">
Evidence/Data: </t>
        </r>
        <r>
          <rPr>
            <sz val="9"/>
            <rFont val="Tahoma"/>
            <family val="2"/>
          </rPr>
          <t>evidence can include a summary of the analysis of alternatives, and documentation of any independent reviews of the analysis. Capital Asset Plan and Business Case documentation may also be used as source of data or evidence.</t>
        </r>
      </text>
    </comment>
    <comment ref="C5" authorId="0">
      <text>
        <r>
          <rPr>
            <b/>
            <sz val="9"/>
            <rFont val="Tahoma"/>
            <family val="2"/>
          </rPr>
          <t xml:space="preserve">3.CA1.  Is the program managed by maintaining clearly defined deliverables, capability/performance characteristics, and appropriate, credible cost and schedule goals?
Purpose of the question: </t>
        </r>
        <r>
          <rPr>
            <sz val="9"/>
            <rFont val="Tahoma"/>
            <family val="2"/>
          </rPr>
          <t xml:space="preserve">to determine whether the agency has clearly identified and defined the required quality, capability, and performance characteristics or objectives expected of the end product/result of the asset or service acquisition. This element is critical because it assures that all parties (government, contractor, etc) are working toward the same end-product and result.
</t>
        </r>
        <r>
          <rPr>
            <b/>
            <sz val="9"/>
            <rFont val="Tahoma"/>
            <family val="2"/>
          </rPr>
          <t xml:space="preserve">
Elements of a Yes answer: </t>
        </r>
        <r>
          <rPr>
            <sz val="9"/>
            <rFont val="Tahoma"/>
            <family val="2"/>
          </rPr>
          <t xml:space="preserve">if acquiring a capital asset, a Yes would require the program to document the capabilities or characteristics that are expected and to make management decisions based on whether milestones are being met.  For example, a weapon system that has defined key performance parameters and operational requirements would get a Yes, one that is proceeding without such definition should receive a No.  For services, a Yes would require the program made adequate use of performance-based contracting methods. A program that acquires services through other than performance-based contracts should receive a No, unless there is a legitimate reason for not using such contracts.
</t>
        </r>
        <r>
          <rPr>
            <b/>
            <sz val="9"/>
            <rFont val="Tahoma"/>
            <family val="2"/>
          </rPr>
          <t xml:space="preserve">
Evidence/Data: </t>
        </r>
        <r>
          <rPr>
            <sz val="9"/>
            <rFont val="Tahoma"/>
            <family val="2"/>
          </rPr>
          <t>evidence can include documentation from the program describing key performance characteristics and/or deliverables and demonstration that this information is used appropriately in management decisions.</t>
        </r>
        <r>
          <rPr>
            <b/>
            <sz val="8"/>
            <rFont val="Tahoma"/>
            <family val="0"/>
          </rPr>
          <t xml:space="preserve">
</t>
        </r>
      </text>
    </comment>
    <comment ref="C6" authorId="0">
      <text>
        <r>
          <rPr>
            <b/>
            <sz val="9"/>
            <rFont val="Tahoma"/>
            <family val="2"/>
          </rPr>
          <t xml:space="preserve">4.CA1.  Were program goals achieved within budgeted costs and established schedules?
Purpose of the question: </t>
        </r>
        <r>
          <rPr>
            <sz val="9"/>
            <rFont val="Tahoma"/>
            <family val="2"/>
          </rPr>
          <t xml:space="preserve">to determine whether valid program goals were achieved within budgeted costs and established schedules and whether the program spends funds as planned and budgeted.
</t>
        </r>
        <r>
          <rPr>
            <b/>
            <sz val="9"/>
            <rFont val="Tahoma"/>
            <family val="2"/>
          </rPr>
          <t xml:space="preserve">
Elements of a Yes answer: </t>
        </r>
        <r>
          <rPr>
            <sz val="9"/>
            <rFont val="Tahoma"/>
            <family val="2"/>
          </rPr>
          <t>a Yes answer would require that the program achieved the goals evaluated in Section II on budget and on schedule. An example of a program that could receive a No rating could be an acquisition program that has experienced 60 percent cost growth and is behind schedule. If a program’s cost and schedule targets were changed in the last 12 months specifically due to failure to achieve previous goals, the program should get a No.</t>
        </r>
        <r>
          <rPr>
            <b/>
            <sz val="9"/>
            <rFont val="Tahoma"/>
            <family val="2"/>
          </rPr>
          <t xml:space="preserve">
Evidence/Data: </t>
        </r>
        <r>
          <rPr>
            <sz val="9"/>
            <rFont val="Tahoma"/>
            <family val="2"/>
          </rPr>
          <t xml:space="preserve">evidence can include a comparison of the contract schedule, deliverables, and costs with the final outcomes for that fiscal year. </t>
        </r>
        <r>
          <rPr>
            <b/>
            <sz val="9"/>
            <rFont val="Tahoma"/>
            <family val="2"/>
          </rPr>
          <t xml:space="preserve">
</t>
        </r>
      </text>
    </comment>
    <comment ref="C7" authorId="0">
      <text>
        <r>
          <rPr>
            <b/>
            <sz val="9"/>
            <rFont val="Tahoma"/>
            <family val="2"/>
          </rPr>
          <t>3.CO1.  Are grants awarded based on a clear competitive process that includes a qualified assessment of merit? 
Purpose of the question:</t>
        </r>
        <r>
          <rPr>
            <sz val="9"/>
            <rFont val="Tahoma"/>
            <family val="2"/>
          </rPr>
          <t xml:space="preserve"> to determine whether or not grant funds are distributed according to a competitive process so that the most meritorious applications are awarded and so that new applicants of merit will be able to compete fairly with previous grant recipients.  (For R&amp;D competitive grants programs, this question is central to addressing the R&amp;D “quality” criterion (see Attachment E of this BPM).)
</t>
        </r>
        <r>
          <rPr>
            <b/>
            <sz val="9"/>
            <rFont val="Tahoma"/>
            <family val="2"/>
          </rPr>
          <t xml:space="preserve">
Elements of a Yes answer: </t>
        </r>
        <r>
          <rPr>
            <sz val="9"/>
            <rFont val="Tahoma"/>
            <family val="2"/>
          </rPr>
          <t xml:space="preserve">a Yes answer would require that the overwhelming majority of awards (95 percent or more of funding) are distributed according to a competitive process. Elements of the process can include peer review and ranking of applications, as well as a limit on the percentage of funds that are earmarked.  A Yes answer would also require that the program operate a fair and open grant competition and provide a reasonable amount of outreach to encourage the participation of new grantees.  Considerations can include whether the program tends to provide grants to the same list of grantees year after year.
</t>
        </r>
        <r>
          <rPr>
            <b/>
            <sz val="9"/>
            <rFont val="Tahoma"/>
            <family val="2"/>
          </rPr>
          <t xml:space="preserve">
Evidence/Data: </t>
        </r>
        <r>
          <rPr>
            <sz val="9"/>
            <rFont val="Tahoma"/>
            <family val="2"/>
          </rPr>
          <t>evidence can include a description of the awards process, percentage of funds earmarked, and percentage of funds subject to peer review. Evidence can also include the relative number of new grantees per grant cycle and technical assistance and outreach efforts of the agency.</t>
        </r>
      </text>
    </comment>
    <comment ref="C8" authorId="0">
      <text>
        <r>
          <rPr>
            <b/>
            <sz val="9"/>
            <rFont val="Tahoma"/>
            <family val="2"/>
          </rPr>
          <t xml:space="preserve">3.CO2.  Does the program have oversight practices that provide sufficient knowledge of grantee activities?
Purpose of the question: </t>
        </r>
        <r>
          <rPr>
            <sz val="9"/>
            <rFont val="Tahoma"/>
            <family val="2"/>
          </rPr>
          <t>to determine whether or not the program has an understanding of how its funds are utilized by grantees.</t>
        </r>
        <r>
          <rPr>
            <b/>
            <sz val="9"/>
            <rFont val="Tahoma"/>
            <family val="2"/>
          </rPr>
          <t xml:space="preserve">
Elements of a Yes answer: </t>
        </r>
        <r>
          <rPr>
            <sz val="9"/>
            <rFont val="Tahoma"/>
            <family val="2"/>
          </rPr>
          <t xml:space="preserve">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t>
        </r>
        <r>
          <rPr>
            <b/>
            <sz val="9"/>
            <rFont val="Tahoma"/>
            <family val="2"/>
          </rPr>
          <t xml:space="preserve">
</t>
        </r>
        <r>
          <rPr>
            <sz val="9"/>
            <rFont val="Tahoma"/>
            <family val="2"/>
          </rPr>
          <t xml:space="preserve">A program with a poor reporting system to track expenditures by grantees would receive a No rating. </t>
        </r>
        <r>
          <rPr>
            <b/>
            <sz val="9"/>
            <rFont val="Tahoma"/>
            <family val="2"/>
          </rPr>
          <t xml:space="preserve">
Evidence/Data: </t>
        </r>
        <r>
          <rPr>
            <sz val="9"/>
            <rFont val="Tahoma"/>
            <family val="2"/>
          </rPr>
          <t>evidence can include the reporting structure, oversight techniques, audit or site visit schedule, and/or an assessment of program data quality.</t>
        </r>
        <r>
          <rPr>
            <sz val="9"/>
            <rFont val="Tahoma"/>
            <family val="2"/>
          </rPr>
          <t xml:space="preserve">
</t>
        </r>
      </text>
    </comment>
    <comment ref="C9" authorId="0">
      <text>
        <r>
          <rPr>
            <b/>
            <sz val="9"/>
            <rFont val="Tahoma"/>
            <family val="2"/>
          </rPr>
          <t xml:space="preserve">3.CO3. Does the program collect grantee performance data on an annual basis and make it available to the public in a transparent and meaningful manner? 
Purpose of the question: </t>
        </r>
        <r>
          <rPr>
            <sz val="9"/>
            <rFont val="Tahoma"/>
            <family val="2"/>
          </rPr>
          <t xml:space="preserve">to determine whether or not the program has a system in place to collect and present publicly information that captures the most important impacts of program performance. </t>
        </r>
        <r>
          <rPr>
            <b/>
            <sz val="9"/>
            <rFont val="Tahoma"/>
            <family val="2"/>
          </rPr>
          <t xml:space="preserve">
Elements of a Yes answer: </t>
        </r>
        <r>
          <rPr>
            <sz val="9"/>
            <rFont val="Tahoma"/>
            <family val="2"/>
          </rPr>
          <t>a Yes would require that the program collects, compiles and disseminates grantee performance information in an accessible manner, such as via a web site or widely available program reports.  Data would be both aggregated on a program-wide level and disaggregated at the grantee level.  
A program would receive a No if grantee performance information is not available to the public, or if it is only aggregated at a high level. Similarly, a program could receive a No response if the data it presents are not related to the impact of the program.</t>
        </r>
        <r>
          <rPr>
            <b/>
            <sz val="9"/>
            <rFont val="Tahoma"/>
            <family val="2"/>
          </rPr>
          <t xml:space="preserve">
Evidence/Data: </t>
        </r>
        <r>
          <rPr>
            <sz val="9"/>
            <rFont val="Tahoma"/>
            <family val="2"/>
          </rPr>
          <t>evidence can include citations of the types of data that are collected and disseminated as well as a description of how these data are made available.</t>
        </r>
        <r>
          <rPr>
            <b/>
            <sz val="9"/>
            <rFont val="Tahoma"/>
            <family val="2"/>
          </rPr>
          <t xml:space="preserve">
</t>
        </r>
        <r>
          <rPr>
            <sz val="8"/>
            <rFont val="Tahoma"/>
            <family val="0"/>
          </rPr>
          <t xml:space="preserve">
</t>
        </r>
      </text>
    </comment>
    <comment ref="C10" authorId="0">
      <text>
        <r>
          <rPr>
            <b/>
            <sz val="9"/>
            <rFont val="Tahoma"/>
            <family val="2"/>
          </rPr>
          <t xml:space="preserve">3.CR1.  Is the program managed on an ongoing basis to assure credit quality remains sound, collections and disbursements are timely, and reporting requirements are fulfilled?
Purpose of the question: </t>
        </r>
        <r>
          <rPr>
            <sz val="9"/>
            <rFont val="Tahoma"/>
            <family val="2"/>
          </rPr>
          <t xml:space="preserve">to determine whether the program agency and its partners manage the financial performance of their credit programs.
</t>
        </r>
        <r>
          <rPr>
            <b/>
            <sz val="9"/>
            <rFont val="Tahoma"/>
            <family val="2"/>
          </rPr>
          <t xml:space="preserve">
Elements of a Yes answer: </t>
        </r>
        <r>
          <rPr>
            <sz val="9"/>
            <rFont val="Tahoma"/>
            <family val="2"/>
          </rPr>
          <t>a Yes answer would require managing the program based on the results of an effective monitoring system that tracks the financial performance of each credit facility.  Collection and analysis of borrower repayment streams should be part of the evaluation process and could be coupled with reports from or trips to the field.  The evaluation should also include an analysis of agency efforts to reduce default rates, and maximize collections and recoveries.</t>
        </r>
        <r>
          <rPr>
            <b/>
            <sz val="9"/>
            <rFont val="Tahoma"/>
            <family val="2"/>
          </rPr>
          <t xml:space="preserve">
Evidence/Data: </t>
        </r>
        <r>
          <rPr>
            <sz val="9"/>
            <rFont val="Tahoma"/>
            <family val="2"/>
          </rPr>
          <t xml:space="preserve">evidence can include quarterly financial statements from the program, agency, Treasury, the guaranteed lender, loan servicing agent; internal evaluations, external independent performance evaluations; reports from field representatives or trips to the field on the borrowers’ performance.
</t>
        </r>
      </text>
    </comment>
    <comment ref="C11" authorId="0">
      <text>
        <r>
          <rPr>
            <b/>
            <sz val="9"/>
            <rFont val="Tahoma"/>
            <family val="2"/>
          </rPr>
          <t xml:space="preserve">3.CR2.  Do the program’s credit models adequately provide reliable, consistent, accurate and transparent estimates of costs and the risk to the Government?
Purpose of the questions:  </t>
        </r>
        <r>
          <rPr>
            <sz val="9"/>
            <rFont val="Tahoma"/>
            <family val="2"/>
          </rPr>
          <t xml:space="preserve">To determine whether the program uses a reliable method for estimating program costs.  
</t>
        </r>
        <r>
          <rPr>
            <b/>
            <sz val="9"/>
            <rFont val="Tahoma"/>
            <family val="2"/>
          </rPr>
          <t xml:space="preserve">
Elements of a Yes answer:  </t>
        </r>
        <r>
          <rPr>
            <sz val="9"/>
            <rFont val="Tahoma"/>
            <family val="2"/>
          </rPr>
          <t xml:space="preserve">A Yes answer would require that the agency employ a rigorous cost-estimation model that adequately accounts for the government's risk and generates dependable cost estimates for each cohort.  A program whose cost estimates routinely differ markedly from actual results should receive a No. </t>
        </r>
        <r>
          <rPr>
            <b/>
            <sz val="9"/>
            <rFont val="Tahoma"/>
            <family val="2"/>
          </rPr>
          <t xml:space="preserve">
Evidence/Data:  </t>
        </r>
        <r>
          <rPr>
            <sz val="9"/>
            <rFont val="Tahoma"/>
            <family val="2"/>
          </rPr>
          <t xml:space="preserve">Evidence can include a description of any problems or advantages of the program's cost estimation model.  For example, a strong model could employ well established statistical estimation techniques that have a solid track record for predicting borrower activity.  However, a weaker model could fail to account for potential contingencies that increase government risk.
</t>
        </r>
      </text>
    </comment>
    <comment ref="C18" authorId="0">
      <text>
        <r>
          <rPr>
            <b/>
            <sz val="9"/>
            <rFont val="Tahoma"/>
            <family val="2"/>
          </rPr>
          <t xml:space="preserve">2.RD1. If applicable, does the program assess and compare the potential benefits of efforts within the program and (if relevant) to other efforts in other programs that have similar goals?
Purpose of the question: </t>
        </r>
        <r>
          <rPr>
            <sz val="9"/>
            <rFont val="Tahoma"/>
            <family val="2"/>
          </rPr>
          <t>to determine whether applicable programs are evaluating their efforts with respect to their relative potential benefits.  Applicable programs include those applied R&amp;D programs that pursue multiple options towards achieving similar public benefits.  (This question addresses the first of the industry-related R&amp;D criteria, regarding the articulation of program benefits (see Attachment E of this BPM).)</t>
        </r>
        <r>
          <rPr>
            <b/>
            <sz val="9"/>
            <rFont val="Tahoma"/>
            <family val="2"/>
          </rPr>
          <t xml:space="preserve">
Elements of a Yes answer: </t>
        </r>
        <r>
          <rPr>
            <sz val="9"/>
            <rFont val="Tahoma"/>
            <family val="2"/>
          </rPr>
          <t>to receive a Yes rating, the program (or agency) should conduct periodic comparisons of the potential benefits of its proposals with alternatives.  The program should be able to demonstrate that the analysis is credible (e.g., by having it reviewed and validated by an independent entity outside the program).  If an independent entity’s analysis differs from the program’s analysis, the program should defend differences.</t>
        </r>
        <r>
          <rPr>
            <b/>
            <sz val="9"/>
            <rFont val="Tahoma"/>
            <family val="2"/>
          </rPr>
          <t xml:space="preserve">
Evidence/Data: </t>
        </r>
        <r>
          <rPr>
            <sz val="9"/>
            <rFont val="Tahoma"/>
            <family val="2"/>
          </rPr>
          <t xml:space="preserve">evidence can include an analysis comparing proposed approaches with alternative strategies.  OMB will work with agencies as needed to assist in the content and structure of these assessments.  One or more examples of analytic tools will be available on http://www.omb.gov/part/.
</t>
        </r>
      </text>
    </comment>
    <comment ref="C12" authorId="0">
      <text>
        <r>
          <rPr>
            <b/>
            <sz val="9"/>
            <rFont val="Tahoma"/>
            <family val="2"/>
          </rPr>
          <t xml:space="preserve">2.RG1. Are all regulations issued by the program/agency necessary to meet the stated goals of the program, and do all regulations clearly indicate how the rules contribute to achievement of the goals?
Purpose of the question: </t>
        </r>
        <r>
          <rPr>
            <sz val="9"/>
            <rFont val="Tahoma"/>
            <family val="2"/>
          </rPr>
          <t xml:space="preserve">to determine whether (1) the program is only issuing those rules absolutely necessary to achieve long-term program goals and is not over-regulating, (2) all of the rules necessary to meet the program goals have been issued, and (3) the regulations clearly indicate how they help to meet the program goals.
</t>
        </r>
        <r>
          <rPr>
            <b/>
            <sz val="9"/>
            <rFont val="Tahoma"/>
            <family val="2"/>
          </rPr>
          <t xml:space="preserve">
Elements of a Yes answer: </t>
        </r>
        <r>
          <rPr>
            <sz val="9"/>
            <rFont val="Tahoma"/>
            <family val="2"/>
          </rPr>
          <t xml:space="preserve">a Yes answer would require that only those regulations that are absolutely necessary to accomplish the program mission and goals are promulgated or are in the process of being promulgated; this determination should be based on the standards laid out in Executive Order 12866 on the identification of the need for the regulation and the identification of the market failure (if applicable). Additionally, the public should be able to understand how the regulations fit into the overall achievement of the program goals. A Yes response indicates that there are no superfluous regulations, that regulations are planned or in the process of being promulgated to cover regulatory gaps where new regulations are required to accomplish program goals, and that the Preamble of each program regulation indicates how the rule contributes to the achievement of specific program goals. 
A program would receive a No if it has 1) obvious regulatory gaps or outdated regulations in effect and 2) not initiated planned actions to rectify these problems in a timely manner. 
</t>
        </r>
        <r>
          <rPr>
            <b/>
            <sz val="9"/>
            <rFont val="Tahoma"/>
            <family val="2"/>
          </rPr>
          <t xml:space="preserve">
Evidence/Data: </t>
        </r>
        <r>
          <rPr>
            <sz val="9"/>
            <rFont val="Tahoma"/>
            <family val="2"/>
          </rPr>
          <t xml:space="preserve">evidence can include legislation that indicates specifically or generically what regulations need to be promulgated as well as the rules themselves, especially the preambles. 
</t>
        </r>
      </text>
    </comment>
    <comment ref="C13" authorId="0">
      <text>
        <r>
          <rPr>
            <b/>
            <sz val="9"/>
            <rFont val="Tahoma"/>
            <family val="2"/>
          </rPr>
          <t xml:space="preserve">3.RG1.  Did the program seek and take into account the views of all affected parties (e.g., consumers; large and small businesses; State, local and tribal governments; beneficiaries; and the general public) when developing significant regulations?
Purpose of the question: </t>
        </r>
        <r>
          <rPr>
            <sz val="9"/>
            <rFont val="Tahoma"/>
            <family val="2"/>
          </rPr>
          <t xml:space="preserve">to determine the level of coordination, during the rulemaking process, with parties affected by the regulations.  </t>
        </r>
        <r>
          <rPr>
            <b/>
            <sz val="9"/>
            <rFont val="Tahoma"/>
            <family val="2"/>
          </rPr>
          <t xml:space="preserve">
Elements of a Yes Answer: </t>
        </r>
        <r>
          <rPr>
            <sz val="9"/>
            <rFont val="Tahoma"/>
            <family val="2"/>
          </rPr>
          <t>a Yes would require the program solicits the opinions of affected parties on significant regulations and thoroughly evaluates the concerns and suggestions raised by these entities.  For example, a program that seeks the opinions of affected parties and incorporates their suggestions or explains why other suggestions were not incorporated during the rule making process could receive a Yes.  
If the program drafts its rules in a vacuum without consulting any of the potentially affected parties, it would likely receive a No.  While the element of seeking views is mandated by law, the assessment should consider the extent to which the program takes those views into account.</t>
        </r>
        <r>
          <rPr>
            <b/>
            <sz val="9"/>
            <rFont val="Tahoma"/>
            <family val="2"/>
          </rPr>
          <t xml:space="preserve">
Evidence/Data: </t>
        </r>
        <r>
          <rPr>
            <sz val="9"/>
            <rFont val="Tahoma"/>
            <family val="2"/>
          </rPr>
          <t>evidence can include notices seeking public comment and addressing comments in final rules, regulation preambles which discuss compliance with the Regulatory Flexibility Act, Unfunded Mandates Act of 1995, Small Business Regulatory Enforcement Fairness Act (SBREFA) of 1996, E.O. 13132, and National Environmental Policy Act, and detailed preamble language discussing how public comments were considered and addressed.</t>
        </r>
        <r>
          <rPr>
            <b/>
            <sz val="9"/>
            <rFont val="Tahoma"/>
            <family val="2"/>
          </rPr>
          <t xml:space="preserve">
</t>
        </r>
      </text>
    </comment>
    <comment ref="C14" authorId="0">
      <text>
        <r>
          <rPr>
            <b/>
            <sz val="9"/>
            <rFont val="Tahoma"/>
            <family val="2"/>
          </rPr>
          <t xml:space="preserve">3.RG2.  Did the program prepare adequate regulatory impact analyses if required by Executive Order 12866, regulatory flexibility analyses if required by the Regulatory Flexibility Act and SBREFA, and cost-benefit analyses if required under the Unfunded Mandates Reform Act; and did those analyses comply with OMB guidelines? 
Purpose of the question: </t>
        </r>
        <r>
          <rPr>
            <sz val="9"/>
            <rFont val="Tahoma"/>
            <family val="2"/>
          </rPr>
          <t>to determine whether the program, in justifying its rules, prepares sound analyses (i.e., cost-benefit analysis, risk analysis) that are rigorous, thorough, and based upon the best available data and consistent with OMB's economic analysis guidelines.</t>
        </r>
        <r>
          <rPr>
            <b/>
            <sz val="9"/>
            <rFont val="Tahoma"/>
            <family val="2"/>
          </rPr>
          <t xml:space="preserve">
Elements of a Yes Answer: </t>
        </r>
        <r>
          <rPr>
            <sz val="9"/>
            <rFont val="Tahoma"/>
            <family val="2"/>
          </rPr>
          <t>a Yes answer should generally include, but is not limited to, a statement of need of the proposed action, an examination of alternative approaches, and an analysis of the incremental benefits and costs of the proposed action.  In accordance with OMB’s economic guidelines, programs' regulatory actions should maximize net benefits; consider regulatory and non-regulatory alternatives; monetize regulatory costs and benefits; and choose the alternative that maximizes net benefits in their regulatory analyses.  For example, programs that fully document the impacts on public health and safety and the regulated industry through a thorough benefit, cost and risk analysis based upon the best possible available data, and examine other regulatory and non-regulatory alternatives would receive a Yes.  A program may receive a Yes if its analyses are subjected to peer review by government entities, academia, industry, or non-profit research organizations; however, peer review is not required for a program to receive a Yes.  
If a program's impact analyses fail to include a discussion of the costs of restrictions on the regulated industry, a No response to this question would be appropriate. If the program certifies that regulations would not have a significant economic impact on a substantial number of small entities, the program must provide adequate justification for that conclusion to get a Yes answer.</t>
        </r>
        <r>
          <rPr>
            <b/>
            <sz val="9"/>
            <rFont val="Tahoma"/>
            <family val="2"/>
          </rPr>
          <t xml:space="preserve">
Evidence/Data: </t>
        </r>
        <r>
          <rPr>
            <sz val="9"/>
            <rFont val="Tahoma"/>
            <family val="2"/>
          </rPr>
          <t xml:space="preserve">evidence can include regulatory impact analyses, regulatory flexibility analyses, and cost-benefit analyses for the program's rules, any reports or feedback generated by outside reviewers, and coordination between reviewers and the sponsoring agency or program.
 </t>
        </r>
      </text>
    </comment>
    <comment ref="C15" authorId="0">
      <text>
        <r>
          <rPr>
            <b/>
            <sz val="9"/>
            <rFont val="Tahoma"/>
            <family val="2"/>
          </rPr>
          <t xml:space="preserve">3.RG3.  Does the program systematically review its current regulations to ensure consistency among all regulations in accomplishing program goals? 
Purpose of the question: </t>
        </r>
        <r>
          <rPr>
            <sz val="9"/>
            <rFont val="Tahoma"/>
            <family val="2"/>
          </rPr>
          <t xml:space="preserve">to determine whether the program consists of only those regulations that are: (1) necessary in achieving its goals, (2) relevant to the current societal and economic situation, and (3) complementary and consistent with each other.
</t>
        </r>
        <r>
          <rPr>
            <b/>
            <sz val="9"/>
            <rFont val="Tahoma"/>
            <family val="2"/>
          </rPr>
          <t xml:space="preserve">
Elements of a Yes Answer: </t>
        </r>
        <r>
          <rPr>
            <sz val="9"/>
            <rFont val="Tahoma"/>
            <family val="2"/>
          </rPr>
          <t xml:space="preserve">a Yes answer would require a program to review its regulations periodically (e.g., every two years) to ensure that they were consistent with program policies. A consideration would include whether the program makes attempts to minimize regulatory burden through constant review of regulations, with an eye towards streamlining, if possible. An additional factor to consider is whether the program ensures that every regulation is consistent with the program's goals.  An example of a Yes could be a program that conducts look-back studies every third year on all of its significant regulations to ensure that they are all current, consistent, and relevant to the program goals, and, if the review concludes that a regulation is no longer necessary, the program proposes or takes action to remedy the situation. 
If a program, however, continues to enforce regulations that are no longer justified and/or necessary, the program would receive a No.  In addition, a program that has not reviewed its regulations for consistency and necessity in a significant time period would receive a No.
</t>
        </r>
        <r>
          <rPr>
            <b/>
            <sz val="9"/>
            <rFont val="Tahoma"/>
            <family val="2"/>
          </rPr>
          <t xml:space="preserve">
Evidence/Data: </t>
        </r>
        <r>
          <rPr>
            <sz val="9"/>
            <rFont val="Tahoma"/>
            <family val="2"/>
          </rPr>
          <t xml:space="preserve">evidence should include a program plan to conduct this exercise on a regular basis, an organizational infrastructure that allocates resources to conducting such a review, and any reports generated or changes made to the program or its regulations as a result of this type of review.
</t>
        </r>
      </text>
    </comment>
    <comment ref="C16" authorId="0">
      <text>
        <r>
          <rPr>
            <b/>
            <sz val="9"/>
            <rFont val="Tahoma"/>
            <family val="2"/>
          </rPr>
          <t xml:space="preserve">3.RG4.  Are the regulations designed to achieve program goals, to the extent practicable, by maximizing the net benefits of its regulatory activity?
Purpose of the question: </t>
        </r>
        <r>
          <rPr>
            <sz val="9"/>
            <rFont val="Tahoma"/>
            <family val="2"/>
          </rPr>
          <t>to determine whether the program, as it promulgates regulations, ensures that its regulatory requirements, in total, maximize net benefits.  (Note that this question relates to the promulgation of regulations, as opposed to their implementation.)</t>
        </r>
        <r>
          <rPr>
            <b/>
            <sz val="9"/>
            <rFont val="Tahoma"/>
            <family val="2"/>
          </rPr>
          <t xml:space="preserve">
Elements of a Yes Answer: </t>
        </r>
        <r>
          <rPr>
            <sz val="9"/>
            <rFont val="Tahoma"/>
            <family val="2"/>
          </rPr>
          <t>a Yes answer would require the program to maximize overall net benefits to the greatest extent practicable.  The program should show that it makes the best effort to assess how each additional regulation adds to the current level of regulatory requirements and keeps regulatory compliance burden at a minimum, including the burden associated with information collection. Any additional compliance burdens should be shown to increase benefits substantially.  An important consideration for this question is whether in promulgating its regulations, for a given level of benefits, the agency allows alternative methods for compliance, record keeping, and reporting to minimize the cost burden on regulated entities (including electronic means).  Programs should be judged within their statutory framework; the program should maximize net benefits to the extent allowed by statute in order to get a Yes.</t>
        </r>
        <r>
          <rPr>
            <b/>
            <sz val="9"/>
            <rFont val="Tahoma"/>
            <family val="2"/>
          </rPr>
          <t xml:space="preserve">
Evidence/Data: </t>
        </r>
        <r>
          <rPr>
            <sz val="9"/>
            <rFont val="Tahoma"/>
            <family val="2"/>
          </rPr>
          <t xml:space="preserve">evidence can include statistics on compliance reporting burden and the costs of the program's requirements on regulated industries in total, or evidence from a thorough cost-benefit analysis.
</t>
        </r>
        <r>
          <rPr>
            <b/>
            <sz val="8"/>
            <rFont val="Tahoma"/>
            <family val="0"/>
          </rPr>
          <t xml:space="preserve">
</t>
        </r>
      </text>
    </comment>
    <comment ref="C17" authorId="0">
      <text>
        <r>
          <rPr>
            <b/>
            <sz val="9"/>
            <rFont val="Tahoma"/>
            <family val="2"/>
          </rPr>
          <t xml:space="preserve">4.RG1.  Were programmatic goals (and benefits) achieved at the least incremental societal cost and did the program maximize net benefits?
Purpose of the question: </t>
        </r>
        <r>
          <rPr>
            <sz val="9"/>
            <rFont val="Tahoma"/>
            <family val="2"/>
          </rPr>
          <t xml:space="preserve">to determine whether the program maximized net benefits through its regulatory actions. In calculating the incremental costs of a new regulation, these costs should be compared to a baseline or, in a small number of cases, a less stringent alternative.  This question deals with the actual implementation of the regulatory action, not just the conception and promulgation of the regulatory action. </t>
        </r>
        <r>
          <rPr>
            <b/>
            <sz val="9"/>
            <rFont val="Tahoma"/>
            <family val="2"/>
          </rPr>
          <t xml:space="preserve">
Elements of a Yes answer: </t>
        </r>
        <r>
          <rPr>
            <sz val="9"/>
            <rFont val="Tahoma"/>
            <family val="2"/>
          </rPr>
          <t>a Yes answer would require that the program’s implementation of the regulatory action maximizes net benefits.  For example, a Department of Transportation maximum load regulation that demonstrates that 1) the realized benefits to health and safety outweigh the realized incremental costs of compliance, and that 2) the net benefits of the regulatory approach adopted is higher than reasonable alternatives, would receive a Yes.  
If a program’s regulations result in greater incremental costs than benefits, or if the program does not analyze alternative approaches to demonstrate that its regulatory approach maximized net benefits, the program should get a No.</t>
        </r>
        <r>
          <rPr>
            <b/>
            <sz val="9"/>
            <rFont val="Tahoma"/>
            <family val="2"/>
          </rPr>
          <t xml:space="preserve">
Evidence/Data: </t>
        </r>
        <r>
          <rPr>
            <sz val="9"/>
            <rFont val="Tahoma"/>
            <family val="2"/>
          </rPr>
          <t xml:space="preserve">evidence can include RIA or other supporting programmatic analyses (with supporting data after implementation that assumptions were correct), look-back studies, independent evaluations, or additional impact analyses using retrospective data.  If a No answer is attributable to statutory requirements to regulate despite the fact that incremental costs exceed benefits, the examiner should include these statutory requirements in the evidence section.
</t>
        </r>
        <r>
          <rPr>
            <b/>
            <sz val="9"/>
            <rFont val="Tahoma"/>
            <family val="2"/>
          </rPr>
          <t xml:space="preserve">
</t>
        </r>
        <r>
          <rPr>
            <sz val="8"/>
            <rFont val="Tahoma"/>
            <family val="0"/>
          </rPr>
          <t xml:space="preserve">
</t>
        </r>
      </text>
    </comment>
    <comment ref="C19" authorId="0">
      <text>
        <r>
          <rPr>
            <b/>
            <sz val="9"/>
            <rFont val="Tahoma"/>
            <family val="2"/>
          </rPr>
          <t xml:space="preserve">2.RD2. Does the program use a prioritization process to guide budget requests and funding decisions?
Purpose of the question: </t>
        </r>
        <r>
          <rPr>
            <sz val="9"/>
            <rFont val="Tahoma"/>
            <family val="2"/>
          </rPr>
          <t>to determine whether the program has clear priorities and uses them in budget requests and funding decisions.  (This question addresses the R&amp;D “relevance” criterion (see Attachment E of this BPM).)</t>
        </r>
        <r>
          <rPr>
            <b/>
            <sz val="9"/>
            <rFont val="Tahoma"/>
            <family val="2"/>
          </rPr>
          <t xml:space="preserve">
Elements of a Yes answer: </t>
        </r>
        <r>
          <rPr>
            <sz val="9"/>
            <rFont val="Tahoma"/>
            <family val="2"/>
          </rPr>
          <t>a Yes answer would require a documented process to identify priorities and use them, as well as an identified set of current priorities among program goals, objectives, and activities. 
R&amp;D programs are encouraged to work with independent advisory bodies to help prioritize in ways that benefit the larger science and technology enterprise.</t>
        </r>
        <r>
          <rPr>
            <b/>
            <sz val="9"/>
            <rFont val="Tahoma"/>
            <family val="2"/>
          </rPr>
          <t xml:space="preserve">
Evidence/Data: </t>
        </r>
        <r>
          <rPr>
            <sz val="9"/>
            <rFont val="Tahoma"/>
            <family val="2"/>
          </rPr>
          <t>evidence can include clear statements of program priorities in program documentation or mission statements, as well as documentation of the priorities identified by any qualified independent advisory bodies.</t>
        </r>
        <r>
          <rPr>
            <b/>
            <sz val="9"/>
            <rFont val="Tahoma"/>
            <family val="2"/>
          </rPr>
          <t xml:space="preserve">
</t>
        </r>
      </text>
    </comment>
    <comment ref="C20" authorId="0">
      <text>
        <r>
          <rPr>
            <b/>
            <sz val="9"/>
            <rFont val="Tahoma"/>
            <family val="2"/>
          </rPr>
          <t xml:space="preserve">3.RD1.  For R&amp;D programs other than competitive grants programs, does the program allocate funds and use management processes that maintain program quality?
Purpose of the question: </t>
        </r>
        <r>
          <rPr>
            <sz val="9"/>
            <rFont val="Tahoma"/>
            <family val="2"/>
          </rPr>
          <t>to determine whether the program uses a clearly stated, defensible method for allocating its R&amp;D funding.  This question is central to addressing the R&amp;D “quality” criterion (see Attachment E of this BPM).</t>
        </r>
        <r>
          <rPr>
            <b/>
            <sz val="9"/>
            <rFont val="Tahoma"/>
            <family val="2"/>
          </rPr>
          <t xml:space="preserve">
Elements of a Yes answer: </t>
        </r>
        <r>
          <rPr>
            <sz val="9"/>
            <rFont val="Tahoma"/>
            <family val="2"/>
          </rPr>
          <t>a Yes answer would require that the program allocate funding using a broadly competitive process based on merit, or that it has compelling justifications for R&amp;D funding allocated through other means.  Interpretations of competition and merit review should be consistent with the definitions in Circular A-11: “…intramural and extramural research programs where funded activities are competitively awarded following review for scientific and technical merit.”  All program funds allocated through means other than unlimited competition must document the processes they use to distribute funds to each type of R&amp;D performer (e.g., federal laboratories, federally funded R&amp;D centers, universities, etc.). Programs are encouraged to use external assessment of the methods they use to allocate R&amp;D and maintain program quality.</t>
        </r>
        <r>
          <rPr>
            <b/>
            <sz val="9"/>
            <rFont val="Tahoma"/>
            <family val="2"/>
          </rPr>
          <t xml:space="preserve">
Evidence/Data: </t>
        </r>
        <r>
          <rPr>
            <sz val="9"/>
            <rFont val="Tahoma"/>
            <family val="2"/>
          </rPr>
          <t xml:space="preserve">evidence can include a description of the awards process, percentage of funds earmarked, percentage of funds subject to competitive peer review, and results of external assessments.
</t>
        </r>
        <r>
          <rPr>
            <sz val="8"/>
            <rFont val="Tahoma"/>
            <family val="2"/>
          </rPr>
          <t xml:space="preserve">
</t>
        </r>
      </text>
    </comment>
    <comment ref="C2" authorId="1">
      <text>
        <r>
          <rPr>
            <b/>
            <sz val="8"/>
            <rFont val="Tahoma"/>
            <family val="0"/>
          </rPr>
          <t xml:space="preserve">3.BF1.  Does the program have oversight practices that provide sufficient knowledge of grantee activities?
Purpose of the question: </t>
        </r>
        <r>
          <rPr>
            <sz val="8"/>
            <rFont val="Tahoma"/>
            <family val="2"/>
          </rPr>
          <t>to determine whether or not the program has an understanding of how its funds are utilized by grantees.</t>
        </r>
        <r>
          <rPr>
            <b/>
            <sz val="8"/>
            <rFont val="Tahoma"/>
            <family val="0"/>
          </rPr>
          <t xml:space="preserve">
Elements of a Yes answer: </t>
        </r>
        <r>
          <rPr>
            <sz val="8"/>
            <rFont val="Tahoma"/>
            <family val="2"/>
          </rPr>
          <t xml:space="preserve">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t>
        </r>
        <r>
          <rPr>
            <b/>
            <sz val="8"/>
            <rFont val="Tahoma"/>
            <family val="0"/>
          </rPr>
          <t xml:space="preserve">
</t>
        </r>
        <r>
          <rPr>
            <sz val="8"/>
            <rFont val="Tahoma"/>
            <family val="2"/>
          </rPr>
          <t xml:space="preserve">A program with no reporting system to track expenditures by grantees would receive a No. 
</t>
        </r>
        <r>
          <rPr>
            <b/>
            <sz val="8"/>
            <rFont val="Tahoma"/>
            <family val="0"/>
          </rPr>
          <t xml:space="preserve">
Evidence/Data: </t>
        </r>
        <r>
          <rPr>
            <sz val="8"/>
            <rFont val="Tahoma"/>
            <family val="2"/>
          </rPr>
          <t xml:space="preserve">evidence can include the reporting structure, oversight techniques, audit or site visit schedule, and/or an assessment of program data quality.
</t>
        </r>
        <r>
          <rPr>
            <b/>
            <sz val="8"/>
            <rFont val="Tahoma"/>
            <family val="0"/>
          </rPr>
          <t xml:space="preserve">
</t>
        </r>
      </text>
    </comment>
  </commentList>
</comments>
</file>

<file path=xl/sharedStrings.xml><?xml version="1.0" encoding="utf-8"?>
<sst xmlns="http://schemas.openxmlformats.org/spreadsheetml/2006/main" count="2024" uniqueCount="1769">
  <si>
    <t>20-0917 TREASURY  Earned income tax credit compl</t>
  </si>
  <si>
    <t xml:space="preserve">20-0919 TREASURY  Information systems           </t>
  </si>
  <si>
    <t xml:space="preserve">Japan-United States Friendship Commission                       </t>
  </si>
  <si>
    <t xml:space="preserve">Architectural and Transportation Barriers Compliance Board      </t>
  </si>
  <si>
    <t>Barry Goldwater Scholarship and Excellence in Education Foundati</t>
  </si>
  <si>
    <t xml:space="preserve">Central Intelligence Agency                                     </t>
  </si>
  <si>
    <t xml:space="preserve">Commission of Fine Arts                                         </t>
  </si>
  <si>
    <t>13-4323 DOC       Economics and statistics admin</t>
  </si>
  <si>
    <t xml:space="preserve">13-4324 DOC       Fisheries finance direct loan </t>
  </si>
  <si>
    <t>13-4327 DOC       Emergency oil and gas guarante</t>
  </si>
  <si>
    <t>13-4328 DOC       Emergency steel guaranteed loa</t>
  </si>
  <si>
    <t>13-4406 DOC       Economic development revolving</t>
  </si>
  <si>
    <t>13-4417 DOC       Federal ship financing fund fi</t>
  </si>
  <si>
    <t xml:space="preserve">13-4511 DOC       Working capital fund          </t>
  </si>
  <si>
    <t xml:space="preserve">13-4512 DOC       Census working capital fund   </t>
  </si>
  <si>
    <t xml:space="preserve">13-4514 DOC       Business management fund      </t>
  </si>
  <si>
    <t xml:space="preserve">District of Columbia                                            </t>
  </si>
  <si>
    <t xml:space="preserve">Equal Employment Opportunity Commission                         </t>
  </si>
  <si>
    <t xml:space="preserve">Export-Import Bank of the United States                         </t>
  </si>
  <si>
    <t>86-0319 HUD       Project-based rental assistanc</t>
  </si>
  <si>
    <t xml:space="preserve">Tennessee Valley Authority                                      </t>
  </si>
  <si>
    <t xml:space="preserve">United States Holocaust Memorial Museum                         </t>
  </si>
  <si>
    <t xml:space="preserve">United States Institute of Peace                                </t>
  </si>
  <si>
    <t xml:space="preserve">Christopher Columbus Fellowship Foundation                      </t>
  </si>
  <si>
    <t xml:space="preserve">Intelligence Community Management Account                       </t>
  </si>
  <si>
    <t xml:space="preserve">Institute of Museum and Library Services                        </t>
  </si>
  <si>
    <t xml:space="preserve">United Mine Workers of America Benefit Funds                    </t>
  </si>
  <si>
    <t xml:space="preserve">Corporation for National and Community Service                  </t>
  </si>
  <si>
    <t xml:space="preserve">United States Enrichment Corporation Fund                       </t>
  </si>
  <si>
    <t>Morris K. Udall Scholarship and Excellence in National Environme</t>
  </si>
  <si>
    <t xml:space="preserve">National Education Goals Panel                                  </t>
  </si>
  <si>
    <t xml:space="preserve">Other Commissions and Boards                                    </t>
  </si>
  <si>
    <t xml:space="preserve">Community Empowerment Board                                     </t>
  </si>
  <si>
    <t xml:space="preserve">Chemical Safety and Hazard Investigation Board                  </t>
  </si>
  <si>
    <t>86-4072 HUD       FHA-general and special risk i</t>
  </si>
  <si>
    <t>END OF FILE</t>
  </si>
  <si>
    <t>Print in budget volume?</t>
  </si>
  <si>
    <t>TOTAL</t>
  </si>
  <si>
    <t>14-5173 DOI       Central Valley project restora</t>
  </si>
  <si>
    <t xml:space="preserve">20-5697 TREASURY  Treasury forfeiture fund      </t>
  </si>
  <si>
    <t>20-5737 TREASURY  Internal revenue collections f</t>
  </si>
  <si>
    <t xml:space="preserve">20-8004 HHS       Federal supplementary medical </t>
  </si>
  <si>
    <t>20-8005 HHS       Federal hospital insurance tru</t>
  </si>
  <si>
    <t xml:space="preserve">20-8006 SSA       Federal old-age and survivor  </t>
  </si>
  <si>
    <t>20-8007 SSA       Federal disability insurance t</t>
  </si>
  <si>
    <t xml:space="preserve">20-8042 DOL       Unemployment trust fund       </t>
  </si>
  <si>
    <t xml:space="preserve">20-8102 DOT       Highway trust fund            </t>
  </si>
  <si>
    <t xml:space="preserve">20-8103 DOT       Airport and airway trust fund </t>
  </si>
  <si>
    <t>20-8144 DOL       Black lung disability trust fu</t>
  </si>
  <si>
    <t xml:space="preserve">20-8145 EPA       Hazardous substance superfund </t>
  </si>
  <si>
    <t>20-8153 EPA       Leaking underground storage ta</t>
  </si>
  <si>
    <t>20-8175 HHS       Vaccine injury compensation pr</t>
  </si>
  <si>
    <t>20-8209 TREASURY  Cheyenne River Sioux Tribe ter</t>
  </si>
  <si>
    <t xml:space="preserve">National Capital Planning Commission                            </t>
  </si>
  <si>
    <t xml:space="preserve">National Commission on Libraries and Information Science        </t>
  </si>
  <si>
    <t>20-1710 TREASURY  Payment of Government losses i</t>
  </si>
  <si>
    <t>20-1713 DC        Federal payment to the Distric</t>
  </si>
  <si>
    <t>20-1714 DC        Federal payment to the federal</t>
  </si>
  <si>
    <t>20-1736 DC        Federal payment for resident t</t>
  </si>
  <si>
    <t>20-1738 TREASURY  Payment to terrestrial wildlif</t>
  </si>
  <si>
    <t xml:space="preserve">86-0304 HUD       Public housing capital fund   </t>
  </si>
  <si>
    <t>86-0308 HUD       Housing opportunities for pers</t>
  </si>
  <si>
    <t xml:space="preserve">86-0313 HUD       Native American housing block </t>
  </si>
  <si>
    <t xml:space="preserve">86-0314 HUD       Brownfields redevelopment     </t>
  </si>
  <si>
    <t>86-0315 HUD       Empowerment zones/enterprise c</t>
  </si>
  <si>
    <t xml:space="preserve">14-4529 DOI       Interior Franchise Fund       </t>
  </si>
  <si>
    <t>14-4547 DOI       Bureau of Reclamation direct l</t>
  </si>
  <si>
    <t>97-4950 DOD       Pentagon reservation maintenan</t>
  </si>
  <si>
    <t xml:space="preserve">97-4965 DOD       Emergency response            </t>
  </si>
  <si>
    <t xml:space="preserve">97-5095           Wildlife conservation         </t>
  </si>
  <si>
    <t>97-5193 DOD       Overseas military facility inv</t>
  </si>
  <si>
    <t xml:space="preserve">Has the agency/program conducted a recent, meaningful, credible analysis of alternatives that includes trade-offs between cost, schedule, risk, and performance goals and used the results to guide the resulting activity? </t>
  </si>
  <si>
    <t>Is the program managed by maintaining clearly defined deliverables, capability/performance characteristics, and appropriate, credible cost and schedule goals?</t>
  </si>
  <si>
    <t xml:space="preserve">Were program goals achieved within budgeted costs and established schedules? </t>
  </si>
  <si>
    <t>86-4070 HUD       FHA-mutual mortgage and cooper</t>
  </si>
  <si>
    <t>86-4071 HUD       Nehemiah housing opportunity f</t>
  </si>
  <si>
    <t xml:space="preserve">16-0328 DOL       Reemployment accounts         </t>
  </si>
  <si>
    <t xml:space="preserve">16-0400 DOL       Salaries and expenses         </t>
  </si>
  <si>
    <t xml:space="preserve">16-1200 DOL       Salaries and expenses         </t>
  </si>
  <si>
    <t xml:space="preserve">16-1521 DOL       Special benefits              </t>
  </si>
  <si>
    <t xml:space="preserve">16-1523 DOL       Energy employees occupational </t>
  </si>
  <si>
    <t>16-1524 DOL       Administrative expenses, Energ</t>
  </si>
  <si>
    <t xml:space="preserve">16-1700 DOL       Salaries and expenses         </t>
  </si>
  <si>
    <t>16-4204 DOL       Pension benefit guaranty corpo</t>
  </si>
  <si>
    <t xml:space="preserve">16-4601 DOL       Working capital fund          </t>
  </si>
  <si>
    <t>16-5155 DOL       Panama Canal Commission compen</t>
  </si>
  <si>
    <t xml:space="preserve">16-9971 DOL       Special workers' compensation </t>
  </si>
  <si>
    <t xml:space="preserve">17-0380 DOD       Coastal defense augmentation  </t>
  </si>
  <si>
    <t>71-0100 IAP       Overseas Private Investment Co</t>
  </si>
  <si>
    <t>71-0105 EXIMBANK  Inspector general of the Expor</t>
  </si>
  <si>
    <t>71-4030 IAP       Overseas Private Investment Co</t>
  </si>
  <si>
    <t>71-4074 IAP       Overseas Private Investment Co</t>
  </si>
  <si>
    <t>71-4075 IAP       Overseas Private Investment Co</t>
  </si>
  <si>
    <t>71-4184 IAP       Overseas Private Investment Co</t>
  </si>
  <si>
    <t xml:space="preserve">72-0300 IAP       Capital investment fund       </t>
  </si>
  <si>
    <t>72-0400 IAP       Microenterprise and small ente</t>
  </si>
  <si>
    <t>72-0401 IAP       Urban and environmental credit</t>
  </si>
  <si>
    <t>Explanation of Measure (if necessary)</t>
  </si>
  <si>
    <t>Baseline under dvlpmt?</t>
  </si>
  <si>
    <t>Targets under dvlpmt?</t>
  </si>
  <si>
    <t>Measure Term</t>
  </si>
  <si>
    <t>R</t>
  </si>
  <si>
    <t xml:space="preserve">R </t>
  </si>
  <si>
    <t xml:space="preserve">12-4213 AG        Agricultural credit insurance </t>
  </si>
  <si>
    <t>12-4215 AG        Rural housing insurance fund d</t>
  </si>
  <si>
    <t>12-4216 AG        Rural housing insurance fund g</t>
  </si>
  <si>
    <t>12-4218 AG        Rural water and waste water di</t>
  </si>
  <si>
    <t>12-4219 AG        Rural development loan fund di</t>
  </si>
  <si>
    <t>12-4220 AG        Local television loan guarante</t>
  </si>
  <si>
    <t>12-4221 AG        Emergency boll weevil direct l</t>
  </si>
  <si>
    <t>12-4223 AG        Rural business and industry di</t>
  </si>
  <si>
    <t>73-4153 SBA       Disaster loan fund liquidating</t>
  </si>
  <si>
    <t>73-4154 SBA       Business loan fund liquidating</t>
  </si>
  <si>
    <t>73-4156 SBA       Surety bond guarantees revolvi</t>
  </si>
  <si>
    <t xml:space="preserve">74-0100           Salaries and expenses         </t>
  </si>
  <si>
    <t xml:space="preserve">74-0101           Foreign currency fluctuations </t>
  </si>
  <si>
    <t xml:space="preserve">74-8569           Contributions                 </t>
  </si>
  <si>
    <t>89-5231 DOE       Uranium enrichment decontamina</t>
  </si>
  <si>
    <t>89-5369 DOE       Northeast home heating oil res</t>
  </si>
  <si>
    <t xml:space="preserve">89-5428 DOE       Elk Hills school lands fund   </t>
  </si>
  <si>
    <t>97-0828 DOD       Defense reinvestment for econo</t>
  </si>
  <si>
    <t xml:space="preserve">97-0833 DOD       Emergency response fund       </t>
  </si>
  <si>
    <t>97-0834 DOD       Family housing improvement fun</t>
  </si>
  <si>
    <t>97-0838 DOD       Support for international spor</t>
  </si>
  <si>
    <t xml:space="preserve">97-0839 DOD       Quality of life enhancements  </t>
  </si>
  <si>
    <t xml:space="preserve">97-0840 DOD       OPLAN 34A-35 P.O.W. payments  </t>
  </si>
  <si>
    <t>97-0842 DOD       Defense vessel transfer progra</t>
  </si>
  <si>
    <t>97-0850           Payment to Unformed Services R</t>
  </si>
  <si>
    <t>97-3999 DOD       Department of Defense Closed A</t>
  </si>
  <si>
    <t xml:space="preserve">97-4090 DOD       Homeowners assistance fund    </t>
  </si>
  <si>
    <t>97-4166 DOD       Family housing improvement dir</t>
  </si>
  <si>
    <t>97-4167 DOD       Family housing improvement gua</t>
  </si>
  <si>
    <t xml:space="preserve">97-4168 DOD       Defense export loan guarantee </t>
  </si>
  <si>
    <t>97-4179 DOD       Reserve mobilization income in</t>
  </si>
  <si>
    <t>97-4555 DOD       National defense stockpile tra</t>
  </si>
  <si>
    <t>97-4583 DOD       Refined petroleum products, ma</t>
  </si>
  <si>
    <t xml:space="preserve">Nuclear Waste Technical Review Board                            </t>
  </si>
  <si>
    <t xml:space="preserve">Occupational Safety and Health Review Commission                </t>
  </si>
  <si>
    <t xml:space="preserve">Office of Government Ethics                                     </t>
  </si>
  <si>
    <t xml:space="preserve">Office of Navajo and Hopi Indian Relocation                     </t>
  </si>
  <si>
    <t>Recipiency targeting index for LIHEAP young child households</t>
  </si>
  <si>
    <t>The LIHEAP program projects that the rate for LIHEAP eligible elderly households served will be at least equal to that of all LIHEAP eligible households by FY 2008, despite diminishing state fiscal resources available and the inherent difficulties of serving this population. The program seeks to maintain the percentage of households served with young children.  Because these measures are relatively new and a trend has not yet been established, it cannot yet be determined if these measures are ambitious.</t>
  </si>
  <si>
    <t xml:space="preserve">97-4930 DOD       Working capital fund, Defense </t>
  </si>
  <si>
    <t>PART Questions &amp; Section Scoring</t>
  </si>
  <si>
    <t>Measures</t>
  </si>
  <si>
    <t>Account Info</t>
  </si>
  <si>
    <t xml:space="preserve">14-4556 DOI       Working capital fund          </t>
  </si>
  <si>
    <t>14-5003 DOI       Mineral leasing and associated</t>
  </si>
  <si>
    <t>14-5015 DOI       Abandoned mine reclamation fun</t>
  </si>
  <si>
    <t>14-5017 DOI       Service charges, deposits, and</t>
  </si>
  <si>
    <t xml:space="preserve">14-5020 DOI       Land acquisition              </t>
  </si>
  <si>
    <t>97-0811 DOD       Environmental restoration, for</t>
  </si>
  <si>
    <t>97-0819 DOD       Overseas humanitarian, disaste</t>
  </si>
  <si>
    <t xml:space="preserve">24-4571 OPM       Revolving fund                </t>
  </si>
  <si>
    <t>24-8135 OPM       Civil service retirement and d</t>
  </si>
  <si>
    <t xml:space="preserve">24-8424 OPM       Employees life insurance fund </t>
  </si>
  <si>
    <t>24-9981 OPM       Employees and retired employee</t>
  </si>
  <si>
    <t xml:space="preserve">25-4056 NCUA      Operating fund                </t>
  </si>
  <si>
    <t>25-4468 NCUA      Credit union share insurance f</t>
  </si>
  <si>
    <t xml:space="preserve">25-4470 NCUA      Central liquidity facility    </t>
  </si>
  <si>
    <t>25-4472 NCUA      Community development credit u</t>
  </si>
  <si>
    <t xml:space="preserve">26-5290 THRIFTBD  Program expenses              </t>
  </si>
  <si>
    <t xml:space="preserve">27-0100 FCC       Salaries and expenses         </t>
  </si>
  <si>
    <t>27-0300 FCC       Spectrum auction program accou</t>
  </si>
  <si>
    <t>27-1000 FCC       Pioneer's preference settlemen</t>
  </si>
  <si>
    <t>27-4133 FCC       Spectrum auction direct loan f</t>
  </si>
  <si>
    <t xml:space="preserve">27-5183 FCC       Universal service fund        </t>
  </si>
  <si>
    <t>28-0400 SSA       Office of the Inspector Genera</t>
  </si>
  <si>
    <t>28-0401 SSA       Special benefits for certain W</t>
  </si>
  <si>
    <t>28-0404 SSA       Payments to social security tr</t>
  </si>
  <si>
    <t>97-4930 DOD       Working capital fund, Air Forc</t>
  </si>
  <si>
    <t xml:space="preserve">97-4930 DOD       Working capital fund, Army    </t>
  </si>
  <si>
    <t xml:space="preserve">Pacific Charter Commission                                      </t>
  </si>
  <si>
    <t xml:space="preserve">Federal Law Enforcement Training Center                         </t>
  </si>
  <si>
    <t xml:space="preserve">Election Assistance Commission                                  </t>
  </si>
  <si>
    <t xml:space="preserve">Public Company Accounting Oversight Board                       </t>
  </si>
  <si>
    <t xml:space="preserve">Standard Setting Body                                           </t>
  </si>
  <si>
    <t xml:space="preserve">Allowances                                                      </t>
  </si>
  <si>
    <t xml:space="preserve">Governmental Receipts                                           </t>
  </si>
  <si>
    <t xml:space="preserve">Farm Credit System                                              </t>
  </si>
  <si>
    <t xml:space="preserve">Federal Home Loan Bank System                                   </t>
  </si>
  <si>
    <t xml:space="preserve">12-9923 AG        Land acquisition              </t>
  </si>
  <si>
    <t xml:space="preserve">12-9971 AG        Miscellaneous trust funds     </t>
  </si>
  <si>
    <t xml:space="preserve">12-9974 AG        Forest Service trust funds    </t>
  </si>
  <si>
    <t xml:space="preserve">13-0120 DOC       Salaries and expenses         </t>
  </si>
  <si>
    <t>13-0121 DOC       Emergency oil and gas guarante</t>
  </si>
  <si>
    <t>13-0122 DOC       Emergency steel guaranteed loa</t>
  </si>
  <si>
    <t xml:space="preserve">13-0125 DOC       Salaries and expenses         </t>
  </si>
  <si>
    <t>13-0126 DOC       Office of the Inspector Genera</t>
  </si>
  <si>
    <t xml:space="preserve">13-0201 DOC       Minority business development </t>
  </si>
  <si>
    <t xml:space="preserve">13-0300 DOC       Operations and administration </t>
  </si>
  <si>
    <t xml:space="preserve">13-0401 DOC       Salaries and expenses         </t>
  </si>
  <si>
    <t>13-0450 DOC       Periodic censuses and programs</t>
  </si>
  <si>
    <t>13-0500 DOC       Scientific and technical resea</t>
  </si>
  <si>
    <t>13-0515 DOC       Construction of research facil</t>
  </si>
  <si>
    <t>13-0525 DOC       Industrial technology services</t>
  </si>
  <si>
    <t xml:space="preserve">13-0550 DOC       Salaries and expenses         </t>
  </si>
  <si>
    <t xml:space="preserve">Budget Year: </t>
  </si>
  <si>
    <t>95-8295 UMWA      United Mine Workers of America</t>
  </si>
  <si>
    <t>95-8296 HSTRUMAN  Harry S. Truman memorial schol</t>
  </si>
  <si>
    <t>95-8615 UALLS     Morris K. Udall Scholarship an</t>
  </si>
  <si>
    <t xml:space="preserve">95-9911 OCB       Other commissions and boards  </t>
  </si>
  <si>
    <t xml:space="preserve">95-9972 CNCS      Gifts and contributions       </t>
  </si>
  <si>
    <t>96-3112 COE       Flood control, Mississippi Riv</t>
  </si>
  <si>
    <t xml:space="preserve">96-3121 COE       General investigations        </t>
  </si>
  <si>
    <t xml:space="preserve">96-3122 COE       Construction                  </t>
  </si>
  <si>
    <t xml:space="preserve">96-3123 COE       Operation and maintenance     </t>
  </si>
  <si>
    <t xml:space="preserve">96-3124 COE       General expenses              </t>
  </si>
  <si>
    <t>96-3125 COE       Flood control and coastal emer</t>
  </si>
  <si>
    <t xml:space="preserve">21-2031 DOD       Aircraft procurement, Army    </t>
  </si>
  <si>
    <t xml:space="preserve">21-2032 DOD       Missile procurement, Army     </t>
  </si>
  <si>
    <t>21-2033 DOD       Procurement of weapons and tra</t>
  </si>
  <si>
    <t>21-2034 DOD       Procurement of ammunition, Arm</t>
  </si>
  <si>
    <t xml:space="preserve">21-2035 DOD       Other procurement, Army       </t>
  </si>
  <si>
    <t>21-2040 DOD       Research, development, test, a</t>
  </si>
  <si>
    <t xml:space="preserve">21-2050 DOD       Military construction, Army   </t>
  </si>
  <si>
    <t>21-2060 DOD       National Guard personnel, Army</t>
  </si>
  <si>
    <t>21-2065 DOD       Operation and maintenance, Arm</t>
  </si>
  <si>
    <t xml:space="preserve">21-2070 DOD       Reserve personnel, Army       </t>
  </si>
  <si>
    <t>21-2080 DOD       Operation and maintenance, Arm</t>
  </si>
  <si>
    <t>11-1457           Office of National Drug Contro</t>
  </si>
  <si>
    <t>11-1460 DRUGCNTL  Other Federal drug control pro</t>
  </si>
  <si>
    <t>11-1461 DRUGCNTL  Counterdrug Technology Assessm</t>
  </si>
  <si>
    <t>11-2300 IAP       United States emergency fund f</t>
  </si>
  <si>
    <t>11-2600           Office of Science and Technolo</t>
  </si>
  <si>
    <t xml:space="preserve">11-3100 IAP       Inter-American Foundation     </t>
  </si>
  <si>
    <t>11-3963           Management fund, Office of Env</t>
  </si>
  <si>
    <t>83-0100 EXIMBANK  Export-Import Bank loans progr</t>
  </si>
  <si>
    <t>83-4027 EXIMBANK  Export-Import Bank of the Unit</t>
  </si>
  <si>
    <t xml:space="preserve">72-1500 IAP       Demobilization and transition </t>
  </si>
  <si>
    <t>72-4103 IAP       Economic assistance loans liqu</t>
  </si>
  <si>
    <t>72-4119 IAP       Loan guarantees to Israel fina</t>
  </si>
  <si>
    <t>72-4137 IAP       Debt reduction financing accou</t>
  </si>
  <si>
    <t xml:space="preserve">72-4175 IAP       Property management fund      </t>
  </si>
  <si>
    <t>72-4266 IAP       Development credit authority g</t>
  </si>
  <si>
    <t>72-4340 IAP       Housing and other credit guara</t>
  </si>
  <si>
    <t xml:space="preserve">72-4341 IAP       Private sector revolving fund </t>
  </si>
  <si>
    <t>72-4342 IAP       Microenterprise and small ente</t>
  </si>
  <si>
    <t>72-4343 IAP       Microenterprise and small ente</t>
  </si>
  <si>
    <t>72-4344 IAP       Urban and environmental credit</t>
  </si>
  <si>
    <t>72-4345 IAP       Assistance for the independent</t>
  </si>
  <si>
    <t xml:space="preserve">72-4513 IAP       Working capital fund          </t>
  </si>
  <si>
    <t>97-0460 DOD       Operational test and evaluatio</t>
  </si>
  <si>
    <t>97-0500 DOD       Military construction, Defense</t>
  </si>
  <si>
    <t>97-0510 DOD       Base realignment and closure a</t>
  </si>
  <si>
    <t>97-0760 DOD       Family housing construction, D</t>
  </si>
  <si>
    <t>97-0765 DOD       Family housing operation and m</t>
  </si>
  <si>
    <t xml:space="preserve">97-0801 DOD       Foreign currency fluctuations </t>
  </si>
  <si>
    <t>97-0803 DOD       Foreign currency fluctuations,</t>
  </si>
  <si>
    <t>97-0804 DOD       North Atlantic Treaty Organiza</t>
  </si>
  <si>
    <t>97-0810 DOD       Environmental restoration, Def</t>
  </si>
  <si>
    <t>19-0520 STATE     Protection of foreign missions</t>
  </si>
  <si>
    <t xml:space="preserve">19-0522 STATE     Emergencies in the diplomatic </t>
  </si>
  <si>
    <t>19-0523 STATE     Payment to the American Instit</t>
  </si>
  <si>
    <t xml:space="preserve">89-0235 DOE       Clean coal technology         </t>
  </si>
  <si>
    <t>89-0236 DOE       Office of the Inspector Genera</t>
  </si>
  <si>
    <t xml:space="preserve">89-0240 DOE       Weapons activities            </t>
  </si>
  <si>
    <t>89-0242 DOE       Defense environmental restorat</t>
  </si>
  <si>
    <t xml:space="preserve">89-0243 DOE       Other defense activities      </t>
  </si>
  <si>
    <t>89-0244 DOE       Defense nuclear waste disposal</t>
  </si>
  <si>
    <t>89-0245 DOE       Environmental management clean</t>
  </si>
  <si>
    <t>89-0249 DOE       Defense environmental services</t>
  </si>
  <si>
    <t>86-5272 HUD       Office of Federal Housing Ente</t>
  </si>
  <si>
    <t xml:space="preserve">86-5486 HUD       Consolidated fee fund         </t>
  </si>
  <si>
    <t>86-8119 HUD       Manufactured housing fees trus</t>
  </si>
  <si>
    <t xml:space="preserve">88-0300 ARCHIVES  Operating expenses            </t>
  </si>
  <si>
    <t>Block/Formula</t>
  </si>
  <si>
    <t>Program Name</t>
  </si>
  <si>
    <t>Type 1</t>
  </si>
  <si>
    <t xml:space="preserve">Type 2 </t>
  </si>
  <si>
    <t>Type 3</t>
  </si>
  <si>
    <t>Allows the Examiner to input answers of YES, NO or NA into the cell to the right of the Questions.</t>
  </si>
  <si>
    <t>Capital Assets &amp; Service Acquisitions</t>
  </si>
  <si>
    <t>Competitive Grants</t>
  </si>
  <si>
    <t>Credit</t>
  </si>
  <si>
    <t>Regulatory</t>
  </si>
  <si>
    <t>Research &amp; Development</t>
  </si>
  <si>
    <t>Answers Text</t>
  </si>
  <si>
    <t>Answers Values</t>
  </si>
  <si>
    <t>Explanation</t>
  </si>
  <si>
    <t>Section</t>
  </si>
  <si>
    <t>OMB Weighting</t>
  </si>
  <si>
    <t>Score</t>
  </si>
  <si>
    <t>Weighted Score</t>
  </si>
  <si>
    <t>Strategic Planning</t>
  </si>
  <si>
    <t>Program Management</t>
  </si>
  <si>
    <t>Program Results</t>
  </si>
  <si>
    <t>Total Program Score</t>
  </si>
  <si>
    <t>70-0800 DHS       Research, development, acquisi</t>
  </si>
  <si>
    <t xml:space="preserve">70-0900 DHS       Operating Expenses            </t>
  </si>
  <si>
    <t>70-4234 DHS       Disaster Assistance Direct Loa</t>
  </si>
  <si>
    <t xml:space="preserve">70-4236 DHS       National Flood Insurance Fund </t>
  </si>
  <si>
    <t xml:space="preserve">70-4535 DHS       Supply Fund                   </t>
  </si>
  <si>
    <t xml:space="preserve">70-4743 DHS       Yard Fund                     </t>
  </si>
  <si>
    <t xml:space="preserve">51-4065 FDIC      FSLIC resolution fund         </t>
  </si>
  <si>
    <t xml:space="preserve">95-3500 NCDISABL  Salaries and expenses         </t>
  </si>
  <si>
    <t>95-3850 CSHIB     Chemical Safety and Hazard Inv</t>
  </si>
  <si>
    <t xml:space="preserve">95-3900 DNFSB     Salaries and expenses         </t>
  </si>
  <si>
    <t xml:space="preserve">95-4039 FHFB      Federal housing finance board </t>
  </si>
  <si>
    <t>95-4054 USEC      United States Enrichment Corpo</t>
  </si>
  <si>
    <t xml:space="preserve">95-4061 PANAMAC   Panama Canal revolving fund   </t>
  </si>
  <si>
    <t>95-4073 PANAMAC   Panama Canal Commission dissol</t>
  </si>
  <si>
    <t xml:space="preserve">95-4331 PT        Presidio Trust                </t>
  </si>
  <si>
    <t>95-4333 OCNMT     Oklahoma City National Memoria</t>
  </si>
  <si>
    <t xml:space="preserve">95-5026 FFIEC     Registry fees                 </t>
  </si>
  <si>
    <t>Allows the Examiner to input answers of YES, LARGE EXTENT, SMALL EXTENT, NO (and NA in special cases for 4.3-4.5) into the cell to the right of the questions.</t>
  </si>
  <si>
    <t xml:space="preserve">Each outlined block of 6 rows will contain information related to one measure. </t>
  </si>
  <si>
    <t xml:space="preserve">The first row in each block will contain the measure and information about it.  </t>
  </si>
  <si>
    <t xml:space="preserve">The remaining 5 rows in each block will contain information about targets (one for each year). </t>
  </si>
  <si>
    <r>
      <t xml:space="preserve">Measure #: </t>
    </r>
    <r>
      <rPr>
        <sz val="10"/>
        <rFont val="Arial"/>
        <family val="2"/>
      </rPr>
      <t>This will be calculated automatically; no entry required. Whole numbers refer to rows containing measures. Decimals refer to rows containing targets for those measures.</t>
    </r>
  </si>
  <si>
    <r>
      <t xml:space="preserve">Measure type: </t>
    </r>
    <r>
      <rPr>
        <sz val="10"/>
        <rFont val="Arial"/>
        <family val="2"/>
      </rPr>
      <t xml:space="preserve">Allows the Examiner to classify the measure as Outcome, Output, or Efficiency for an Outcome or Output as appropriate.       </t>
    </r>
    <r>
      <rPr>
        <b/>
        <sz val="10"/>
        <rFont val="Arial"/>
        <family val="2"/>
      </rPr>
      <t xml:space="preserve">    </t>
    </r>
  </si>
  <si>
    <r>
      <t xml:space="preserve">Measure: </t>
    </r>
    <r>
      <rPr>
        <sz val="10"/>
        <rFont val="Arial"/>
        <family val="2"/>
      </rPr>
      <t xml:space="preserve">Allows the Examiner to input the measure.This should be a phrase worded as a measure, not a goal. For example, use "Rate of death from fire" as opposed to "Reduce rate of death from fire". By filling in the cells for the targets, the specific goal will be evident.                                                              </t>
    </r>
  </si>
  <si>
    <t>The recipiency targeting index for a specific group of households is computed by comparing the percent of an eligible target group that received LIHEAP benefits to the percent of all eligible households that received LIHEAP benefits. A targeting index of 100 indicates that a group of LIHEAP eligible households were served at the same rate as all LIHEAP eligible households. For FY 2001, the targeting index of LIHEAP eligible elderly households that were served was 90. This indicates that LIHEAP eligiible elderly households were served at a 10 percent lower rate than all LIHEAP eligible households.</t>
  </si>
  <si>
    <t>Baseline</t>
  </si>
  <si>
    <t xml:space="preserve"> </t>
  </si>
  <si>
    <t>Y</t>
  </si>
  <si>
    <t>LIHEAP is the only comprehensive national energy assistance program as it includes heating and cooling assistance, and energy crisis intervention.  Grantees may use LIHEAP funds for low-cost residential weatherization and other energy-related home repair, similar to the DOE Weatherization Assistance Program (WAP).  However, WAP doesn't serve tribes and territories directly.</t>
  </si>
  <si>
    <t>Federal managers are held accountable through annual work plans and individual performance plans.  LIHEAP grantees are held accountable for program performance through annual financial audits, State Plan Assurances, reports on performance data, and on administrative cost limits.</t>
  </si>
  <si>
    <t xml:space="preserve">Once LIHEAP grantee plans are completed, and federal funds are available, grant awards are issued immediately.  States receive quarterly allocations of their annual allotments.  States must obligate at least 90% of their fiscal year allocation before the end of that fiscal year on 9/30, and may carryover no more than 10% into the following fiscal year.    </t>
  </si>
  <si>
    <t>No national performance evaluations have been conducted.</t>
  </si>
  <si>
    <t xml:space="preserve">86-0143 HUD       Salaries and expenses         </t>
  </si>
  <si>
    <t xml:space="preserve">86-0144 HUD       Fair housing activities       </t>
  </si>
  <si>
    <t xml:space="preserve">86-0156 HUD       Housing counseling assistance </t>
  </si>
  <si>
    <t xml:space="preserve">89-0250 DOE       Non-defense site acceleration </t>
  </si>
  <si>
    <t>89-0251 DOE       Defense site acceleration comp</t>
  </si>
  <si>
    <t>89-0302 DOE       Operation and maintenance, Sou</t>
  </si>
  <si>
    <t>89-0303 DOE       Operation and maintenance, Sou</t>
  </si>
  <si>
    <t xml:space="preserve">49-0106 NSF       Education and human resources </t>
  </si>
  <si>
    <t>49-0150 NSF       Academic research infrastructu</t>
  </si>
  <si>
    <t xml:space="preserve">14-2100 DOI       Operation of Indian programs  </t>
  </si>
  <si>
    <t xml:space="preserve">14-2204 DOI       White Earth settlement fund   </t>
  </si>
  <si>
    <t xml:space="preserve">14-2301 DOI       Construction                  </t>
  </si>
  <si>
    <t>14-2303 DOI       Indian land and water claim se</t>
  </si>
  <si>
    <t>14-2627 DOI       Indian direct loan program acc</t>
  </si>
  <si>
    <t>14-2628 DOI       Indian guaranteed loan program</t>
  </si>
  <si>
    <t xml:space="preserve">14-4053 DOI       Helium fund                   </t>
  </si>
  <si>
    <t>14-4079 DOI       Lower Colorado River Basin dev</t>
  </si>
  <si>
    <t>14-4081 DOI       Upper Colorado River Basin fun</t>
  </si>
  <si>
    <t>14-4163 DOI       Assistance to American Samoa d</t>
  </si>
  <si>
    <t>14-4409 DOI       Revolving fund for loans liqui</t>
  </si>
  <si>
    <t>14-4410 DOI       Indian loan guaranty and insur</t>
  </si>
  <si>
    <t>14-4415 DOI       Indian guaranteed loan financi</t>
  </si>
  <si>
    <t>14-4416 DOI       Indian direct loan financing a</t>
  </si>
  <si>
    <t xml:space="preserve">14-4523 DOI       Working capital fund          </t>
  </si>
  <si>
    <t xml:space="preserve">14-4524 DOI       Working capital fund          </t>
  </si>
  <si>
    <t xml:space="preserve">14-4525 DOI       Working capital fund          </t>
  </si>
  <si>
    <t xml:space="preserve">Farm Credit Administration                                      </t>
  </si>
  <si>
    <t xml:space="preserve">Farm Credit System Financial Assistance Corporation             </t>
  </si>
  <si>
    <t xml:space="preserve">Farm Credit System Insurance Corporation                        </t>
  </si>
  <si>
    <t xml:space="preserve">Federal Communications Commission                               </t>
  </si>
  <si>
    <t xml:space="preserve">Federal Deposit Insurance Corporation                           </t>
  </si>
  <si>
    <t xml:space="preserve">Federal Election Commission                                     </t>
  </si>
  <si>
    <t xml:space="preserve">Federal Emergency Management Agency                             </t>
  </si>
  <si>
    <t>Federal Financial Institutions Examination Council Appraisal Sub</t>
  </si>
  <si>
    <t xml:space="preserve">Federal Housing Finance Board                                   </t>
  </si>
  <si>
    <t xml:space="preserve">Federal Labor Relations Authority                               </t>
  </si>
  <si>
    <t xml:space="preserve">Federal Maritime Commission                                     </t>
  </si>
  <si>
    <t>Department of Veterans Affairs</t>
  </si>
  <si>
    <t>Environmental Protection Agency</t>
  </si>
  <si>
    <t>Export-Import Bank of the United States</t>
  </si>
  <si>
    <t>General Services Administration</t>
  </si>
  <si>
    <t>National Aeronautics and Space Administration</t>
  </si>
  <si>
    <t>National Science Foundation</t>
  </si>
  <si>
    <t>Office of National Drug Control Policy</t>
  </si>
  <si>
    <t>Overseas Private Investment Corporation</t>
  </si>
  <si>
    <t>Small Business Administration</t>
  </si>
  <si>
    <t>Social Security Administration</t>
  </si>
  <si>
    <t>Tennessee Valley Authority</t>
  </si>
  <si>
    <t>Office of Personnel Management</t>
  </si>
  <si>
    <t xml:space="preserve">69-1134 DOT       Capital investment grants     </t>
  </si>
  <si>
    <t>69-1136 DOT       University transportation rese</t>
  </si>
  <si>
    <t xml:space="preserve">69-1137 DOT       Transit planning and research </t>
  </si>
  <si>
    <t>69-1139 DOT       Major capital investments gran</t>
  </si>
  <si>
    <t xml:space="preserve">69-1301 DOT       Operations                    </t>
  </si>
  <si>
    <t xml:space="preserve">69-1708 DOT       Ship construction             </t>
  </si>
  <si>
    <t>69-1709 DOT       Operating-differential subsidi</t>
  </si>
  <si>
    <t xml:space="preserve">69-1710 DOT       Ready reserve force           </t>
  </si>
  <si>
    <t xml:space="preserve">69-1711 DOT       Maritime security program     </t>
  </si>
  <si>
    <t>Section 2603(4) and 2605(b)(1)(A-C) of the LIHEAP statute; Senate Report 103-251 accompanying S. 2000; LIHEAP Home Energy Notebook (Figure 3, p.iii).</t>
  </si>
  <si>
    <t xml:space="preserve">70-0600 DHS       Operating Expenses            </t>
  </si>
  <si>
    <t xml:space="preserve">70-0601 DHS       Capital Acquisitions          </t>
  </si>
  <si>
    <t xml:space="preserve">70-0602 DHS       Retired Pay                   </t>
  </si>
  <si>
    <t xml:space="preserve">70-0700 DHS       Operating Expenses            </t>
  </si>
  <si>
    <t xml:space="preserve">70-0701 DHS       Grant Programs                </t>
  </si>
  <si>
    <t>17-1105 DOD       Military personnel, Marine Cor</t>
  </si>
  <si>
    <t>17-1106 DOD       Operation and maintenance, Mar</t>
  </si>
  <si>
    <t>17-1107 DOD       Operation and maintenance, Mar</t>
  </si>
  <si>
    <t>17-1108 DOD       Reserve personnel, Marine Corp</t>
  </si>
  <si>
    <t xml:space="preserve">17-1109 DOD       Procurement, Marine Corps     </t>
  </si>
  <si>
    <t xml:space="preserve">17-1205 DOD       Military construction, Navy   </t>
  </si>
  <si>
    <t>17-1235 DOD       Military construction, Naval R</t>
  </si>
  <si>
    <t>17-1236 DOD       Payment to Kaho'olawe Island c</t>
  </si>
  <si>
    <t>17-1319 DOD       Research, development, test, a</t>
  </si>
  <si>
    <t xml:space="preserve">17-1405 DOD       Reserve personnel, Navy       </t>
  </si>
  <si>
    <t xml:space="preserve">17-1453 DOD       Military personnel, Navy      </t>
  </si>
  <si>
    <t xml:space="preserve">17-1506 DOD       Aircraft procurement, Navy    </t>
  </si>
  <si>
    <t xml:space="preserve">17-1507 DOD       Weapons procurement, Navy     </t>
  </si>
  <si>
    <t>17-1508 DOD       Procurement of ammunition, Nav</t>
  </si>
  <si>
    <t>17-1611 DOD       Shipbuilding and conversion, N</t>
  </si>
  <si>
    <t>17-1804 DOD       Operation and maintenance, Nav</t>
  </si>
  <si>
    <t>17-1806 DOD       Operation and maintenance, Nav</t>
  </si>
  <si>
    <t>Questions</t>
  </si>
  <si>
    <t>Ans.</t>
  </si>
  <si>
    <t>Does the program use strong financial management practices?</t>
  </si>
  <si>
    <t xml:space="preserve">OMB Program Assessment Rating Tool (PART) </t>
  </si>
  <si>
    <t>User Instructions for the OMB Program Assessment Rating Tool</t>
  </si>
  <si>
    <t xml:space="preserve">Name of Program:  </t>
  </si>
  <si>
    <t>Weighting</t>
  </si>
  <si>
    <t>Section I, II &amp; III</t>
  </si>
  <si>
    <t>Section IV</t>
  </si>
  <si>
    <t>Allows the Examiner to input Explanations (Required) and Evidence/Data (if available) for each question.</t>
  </si>
  <si>
    <t xml:space="preserve">Allows the Examiner to weight each question within each Section (up to 100%). </t>
  </si>
  <si>
    <t xml:space="preserve">Explanation </t>
  </si>
  <si>
    <t>RD</t>
  </si>
  <si>
    <t>RG</t>
  </si>
  <si>
    <t xml:space="preserve">CR </t>
  </si>
  <si>
    <t xml:space="preserve">CO </t>
  </si>
  <si>
    <t xml:space="preserve">CA </t>
  </si>
  <si>
    <t>BF</t>
  </si>
  <si>
    <t>BF Note</t>
  </si>
  <si>
    <t>CA Note</t>
  </si>
  <si>
    <t>CO Note</t>
  </si>
  <si>
    <t>CR Note</t>
  </si>
  <si>
    <t>RG Note</t>
  </si>
  <si>
    <t>RD Note</t>
  </si>
  <si>
    <t>49-0100 NSF       Research and related activitie</t>
  </si>
  <si>
    <t>95-2602 CFARTS    National Capital arts and cult</t>
  </si>
  <si>
    <t>95-2650 NEGP      National Education Goals Panel</t>
  </si>
  <si>
    <t xml:space="preserve">95-2700 NCLIBINF  Salaries and expenses         </t>
  </si>
  <si>
    <t>95-2720 CNCS      National and community service</t>
  </si>
  <si>
    <t xml:space="preserve">95-2721 CNCS      Inspector general             </t>
  </si>
  <si>
    <t>95-2750 IAP       Millennium challenge corporati</t>
  </si>
  <si>
    <t xml:space="preserve">95-2800 FMSHRC    Salaries and expenses         </t>
  </si>
  <si>
    <t xml:space="preserve">95-2900 IAIA      Payment to the institute      </t>
  </si>
  <si>
    <t xml:space="preserve">95-3200 ATBCB     Salaries and expenses         </t>
  </si>
  <si>
    <t xml:space="preserve">95-3300 USHMC     Holocaust Memorial Museum     </t>
  </si>
  <si>
    <t xml:space="preserve">96-3126 COE       Regulatory program            </t>
  </si>
  <si>
    <t xml:space="preserve">96-3128 COE       Washington aqueduct           </t>
  </si>
  <si>
    <t>96-3129 COE       Payment to South Dakota terres</t>
  </si>
  <si>
    <t>96-3130 COE       Formerly utilized sites remedi</t>
  </si>
  <si>
    <t xml:space="preserve">Program ID: </t>
  </si>
  <si>
    <t>Program Assessment Rating Tool (PART) Summary</t>
  </si>
  <si>
    <t>11-0089 IAP       Contribution to enterprise for</t>
  </si>
  <si>
    <t xml:space="preserve">11-0091 IAP       Debt restructuring            </t>
  </si>
  <si>
    <t>11-0092 IAP       Contribution for the EBRD smal</t>
  </si>
  <si>
    <t xml:space="preserve">11-0100 IAP       Peace Corps                   </t>
  </si>
  <si>
    <t xml:space="preserve">3. Total Weighting for each section must be 100%. Please note that default weights are displayed as whole numbers that may not add to 100%, but are actually decimals that do add to 100%. For example, if a section has 7 equally weighted questions, the weights would be displayed as 14%, however, the actual weight is closer to 14.28%. If you adjust question weights, you must manually adjust the percentages, including decimals, so that they all sum to 100%. </t>
  </si>
  <si>
    <t>72-8342 IAP       Foreign Service national separ</t>
  </si>
  <si>
    <t>72-9971 IAP       Miscellaneous trust funds, AID</t>
  </si>
  <si>
    <t xml:space="preserve">73-0100 SBA       Salaries and expenses         </t>
  </si>
  <si>
    <t xml:space="preserve">73-0200 SBA       Office of Inspector General   </t>
  </si>
  <si>
    <t>73-1152 SBA       Disaster loans program account</t>
  </si>
  <si>
    <t xml:space="preserve">73-1154 SBA       Business loan program account </t>
  </si>
  <si>
    <t xml:space="preserve">17-1810 DOD       Other procurement, Navy       </t>
  </si>
  <si>
    <t xml:space="preserve">17-4557 DOD       National defense sealift fund </t>
  </si>
  <si>
    <t>18-1001 USPS      Payment to Postal Service fund</t>
  </si>
  <si>
    <t xml:space="preserve">18-4020 USPS      Postal Service fund           </t>
  </si>
  <si>
    <t>19-0113 STATE     Diplomatic and consular progra</t>
  </si>
  <si>
    <t xml:space="preserve">19-0120 STATE     Capital investment fund       </t>
  </si>
  <si>
    <t>19-0201 STATE     International information prog</t>
  </si>
  <si>
    <t xml:space="preserve">19-0202 STATE     East-West Center              </t>
  </si>
  <si>
    <t>19-0209 STATE     Educational and cultural excha</t>
  </si>
  <si>
    <t>19-0210 STATE     National Endowment for Democra</t>
  </si>
  <si>
    <t xml:space="preserve">14-5029 DOI       Federal aid in wildlife re    </t>
  </si>
  <si>
    <t xml:space="preserve">14-5033 DOI       Land acquisition              </t>
  </si>
  <si>
    <t>14-5035 DOI       Land acquisition and State ass</t>
  </si>
  <si>
    <t>14-5039 DOI       Priority Federal land acquisit</t>
  </si>
  <si>
    <t>14-5051 DOI       Operation and maintenance of q</t>
  </si>
  <si>
    <t xml:space="preserve">14-5065 DOI       Policy and administration     </t>
  </si>
  <si>
    <t xml:space="preserve">14-5091 DOI       National wildlife refuge fund </t>
  </si>
  <si>
    <t xml:space="preserve">14-5132 DOI       Range improvements            </t>
  </si>
  <si>
    <t>14-5137 DOI       Migratory bird conservation ac</t>
  </si>
  <si>
    <r>
      <t>IMPORTANT:</t>
    </r>
    <r>
      <rPr>
        <sz val="10"/>
        <color indexed="10"/>
        <rFont val="Arial"/>
        <family val="2"/>
      </rPr>
      <t xml:space="preserve"> If the program is a mixture of two or three types or is an R&amp;D program that needs to answer Capital Assets or Competitive Grant questions, OMB examiners should confer with the RMO PET contact. (For technical reasons, the addition of type-specific questions to the worksheet needs to be done within OMB.)</t>
    </r>
  </si>
  <si>
    <t xml:space="preserve">95-2500 NCPC      Salaries and expenses         </t>
  </si>
  <si>
    <t>95-2501 NCPC      Pennsylvania Avenue Restoratio</t>
  </si>
  <si>
    <t xml:space="preserve">95-2600 CFARTS    Salaries and expenses         </t>
  </si>
  <si>
    <t xml:space="preserve">14-1125 DOI       Wildland fire management      </t>
  </si>
  <si>
    <t xml:space="preserve">14-1611 DOI       Resource management           </t>
  </si>
  <si>
    <t xml:space="preserve">14-1612 DOI       Construction                  </t>
  </si>
  <si>
    <t>14-1618 DOI       Natural resource damage assess</t>
  </si>
  <si>
    <t>14-1652 DOI       Multinational species conserva</t>
  </si>
  <si>
    <t>14-1658 DOI       Commercial salmon fishery capa</t>
  </si>
  <si>
    <t>14-1694 DOI       State and tribal wildlife gran</t>
  </si>
  <si>
    <t xml:space="preserve">14-1801 DOI       Regulation and technology     </t>
  </si>
  <si>
    <t>75-4420 HHS       Health maintenance organizatio</t>
  </si>
  <si>
    <t xml:space="preserve">75-4442 HHS       Health center guaranteed loan </t>
  </si>
  <si>
    <t>75-8074 HHS       Ricky Ray hemophilia relief fu</t>
  </si>
  <si>
    <t>75-8252 HHS       Toxic substances and environme</t>
  </si>
  <si>
    <t>75-8393 HHS       Health care fraud and abuse co</t>
  </si>
  <si>
    <t>75-8605 HHS       Violent crime reduction progra</t>
  </si>
  <si>
    <t>75-9066 HHS       Allowance for medicare moderni</t>
  </si>
  <si>
    <t>47-0105 GSA       Allowances and office staff fo</t>
  </si>
  <si>
    <t>47-0107 GSA       Expenses, Presidential transit</t>
  </si>
  <si>
    <t xml:space="preserve">47-0108 GSA       Office of Inspector General   </t>
  </si>
  <si>
    <t xml:space="preserve">47-0110 GSA       Operating expenses            </t>
  </si>
  <si>
    <t xml:space="preserve">47-0401 GSA       Governmentwide policy         </t>
  </si>
  <si>
    <t xml:space="preserve">47-0535 GSA       Real property relocation      </t>
  </si>
  <si>
    <t xml:space="preserve">47-0600 GSA       Electronic government (E-GOV) </t>
  </si>
  <si>
    <t>47-4029 GSA       Columbia Hospital for Women di</t>
  </si>
  <si>
    <t xml:space="preserve">47-4530 GSA       General supply fund           </t>
  </si>
  <si>
    <t xml:space="preserve">47-4540 GSA       Working capital fund          </t>
  </si>
  <si>
    <t xml:space="preserve">47-4542 GSA       Federal buildings fund        </t>
  </si>
  <si>
    <t xml:space="preserve">12-9913 AG        Office of the Secretary       </t>
  </si>
  <si>
    <t>12-9921 AG        Forest Service permanent appro</t>
  </si>
  <si>
    <t>The guidance for each Section and Question are provided in the cells as comments (See Red Triangle in the top right corner of each cell). General PART Instructions are attached to this cell. In order to view the entire comment, right click on your mouse and click on "show comment".  When finished viewing comment, right click on your mouse again and click on "hide comment."</t>
  </si>
  <si>
    <t>12-0900 AG        Office of the Inspector Genera</t>
  </si>
  <si>
    <t xml:space="preserve">12-1000 AG        Conservation operations       </t>
  </si>
  <si>
    <t>12-1002 AG        Watershed rehabilitation progr</t>
  </si>
  <si>
    <t>12-1004 AG        Farm security and rural invest</t>
  </si>
  <si>
    <t>12-1006 AG        Farm bill technical assistance</t>
  </si>
  <si>
    <t>Does the program address a specific and existing problem, interest or need?</t>
  </si>
  <si>
    <t>14-5243 DOI       National forests fund, Payment</t>
  </si>
  <si>
    <t xml:space="preserve">12-1501 AG        Buildings and facilities      </t>
  </si>
  <si>
    <t xml:space="preserve">12-1502 AG        Integrated activities         </t>
  </si>
  <si>
    <t>12-1503 AG        Initiative for future agricult</t>
  </si>
  <si>
    <t xml:space="preserve">12-1600 AG        Salaries and expenses         </t>
  </si>
  <si>
    <t xml:space="preserve">12-1601 AG        Buildings and facilities      </t>
  </si>
  <si>
    <t xml:space="preserve">12-1701 AG        Economic Research Service     </t>
  </si>
  <si>
    <t>12-1801 AG        National Agricultural Statisti</t>
  </si>
  <si>
    <t xml:space="preserve">89-0215 DOE       Energy conservation           </t>
  </si>
  <si>
    <t>89-0216 DOE       Energy information administrat</t>
  </si>
  <si>
    <t xml:space="preserve">89-0217 DOE       Economic regulation           </t>
  </si>
  <si>
    <t>Is the program designed so that it is not redundant or duplicative of any other Federal, state, local or private effort?</t>
  </si>
  <si>
    <t>Is the program design free of major flaws that would limit the program’s effectiveness or efficiency?</t>
  </si>
  <si>
    <t>Is the program effectively targeted, so that resources will reach intended beneficiaries and/or otherwise address the program’s purpose directly?</t>
  </si>
  <si>
    <t xml:space="preserve">Does the program have ambitious targets and timeframes for its long-term measures? </t>
  </si>
  <si>
    <t>Does the program have a limited number of specific annual performance measures that can demonstrate progress toward achieving the program’s long-term goals?</t>
  </si>
  <si>
    <t>Does the program have baselines and ambitious targets for its annual measures?</t>
  </si>
  <si>
    <t xml:space="preserve">91-0098 ED        Head start                    </t>
  </si>
  <si>
    <t xml:space="preserve">91-0101 ED        Indian education              </t>
  </si>
  <si>
    <t xml:space="preserve">Department of Agriculture                                       </t>
  </si>
  <si>
    <t xml:space="preserve">Department of Commerce                                          </t>
  </si>
  <si>
    <t xml:space="preserve">Department of Defense--Military                                 </t>
  </si>
  <si>
    <t xml:space="preserve">Department of Health and Human Services                         </t>
  </si>
  <si>
    <t xml:space="preserve">16-0326 DOL       Federal unemployment benefits </t>
  </si>
  <si>
    <t>16-0327 DOL       Advances to the Unemployment t</t>
  </si>
  <si>
    <t xml:space="preserve">36-4127 VA        Housing direct loan financing </t>
  </si>
  <si>
    <t>36-4129 VA        Housing guaranteed loan financ</t>
  </si>
  <si>
    <t>36-4130 VA        Native American and transition</t>
  </si>
  <si>
    <t xml:space="preserve">36-4259 VA        Vocational rehabilitation and </t>
  </si>
  <si>
    <t xml:space="preserve">36-4537 VA        Supply fund                   </t>
  </si>
  <si>
    <t xml:space="preserve">36-4539 VA        Franchise fund                </t>
  </si>
  <si>
    <t>36-8132 VA        National service life insuranc</t>
  </si>
  <si>
    <t xml:space="preserve">Department of Energy                                            </t>
  </si>
  <si>
    <t xml:space="preserve">Environmental Protection Agency                                 </t>
  </si>
  <si>
    <t xml:space="preserve">Department of Transportation                                    </t>
  </si>
  <si>
    <t xml:space="preserve">20-0114 TREASURY  Biomass energy development    </t>
  </si>
  <si>
    <t>20-0115 TREASURY  Department-wide systems and ca</t>
  </si>
  <si>
    <t xml:space="preserve">Commission on Civil Rights                                      </t>
  </si>
  <si>
    <t>Committee for Purchase from People who are Blind or Severely Dis</t>
  </si>
  <si>
    <t xml:space="preserve">Commodity Futures Trading Commission                            </t>
  </si>
  <si>
    <t xml:space="preserve">Consumer Product Safety Commission                              </t>
  </si>
  <si>
    <t xml:space="preserve">Corporation for Public Broadcasting                             </t>
  </si>
  <si>
    <t xml:space="preserve">Court of Appeals for Veterans Claims                            </t>
  </si>
  <si>
    <t xml:space="preserve">Defense Nuclear Facilities Safety Board                         </t>
  </si>
  <si>
    <t>20-0550 TREASURY  Interest on Treasury debt secu</t>
  </si>
  <si>
    <t xml:space="preserve">20-0560 TREASURY  Administering the public debt </t>
  </si>
  <si>
    <t>20-0904 TREASURY  Refunding internal revenue col</t>
  </si>
  <si>
    <t>20-0906 TREASURY  Payment where earned income cr</t>
  </si>
  <si>
    <t>20-0912 TREASURY  Processing, assistance, and ma</t>
  </si>
  <si>
    <t xml:space="preserve">20-0913 TREASURY  Tax law enforcement           </t>
  </si>
  <si>
    <t xml:space="preserve">15-5042 DOJ       Assets forfeiture fund        </t>
  </si>
  <si>
    <t>15-5073 DOJ       United States trustee system f</t>
  </si>
  <si>
    <t xml:space="preserve">15-5131 DOJ       Diversion control fee account </t>
  </si>
  <si>
    <t>15-8116 DOJ       Radiation exposure compensatio</t>
  </si>
  <si>
    <t>15-8408 DOJ       Commissary funds, Federal pris</t>
  </si>
  <si>
    <t xml:space="preserve">15-8585 DOJ       Violent crime reduction trust </t>
  </si>
  <si>
    <t xml:space="preserve">16-0105 DOL       Salaries and expenses         </t>
  </si>
  <si>
    <t>16-0106 DOL       Office of the Inspector Genera</t>
  </si>
  <si>
    <t>16-0164 DOL       Veterans employment and traini</t>
  </si>
  <si>
    <t xml:space="preserve">16-0165 DOL       Salaries and expenses         </t>
  </si>
  <si>
    <t>16-0166 DOL       Office of Disability Employmen</t>
  </si>
  <si>
    <t xml:space="preserve">16-0169 DOL       Special benefits for disabled </t>
  </si>
  <si>
    <t>12-4142 AG        Rural communication developmen</t>
  </si>
  <si>
    <t>12-4143 AG        Debt reduction - financing acc</t>
  </si>
  <si>
    <t>12-4144 AG        Alternative agricultural resea</t>
  </si>
  <si>
    <t>12-4146 AG        Distance learning, telemedicin</t>
  </si>
  <si>
    <t>12-4155 AG        Rural development insurance fu</t>
  </si>
  <si>
    <t>12-4158 AG        Farm storage facility direct l</t>
  </si>
  <si>
    <t>12-4176 AG        Rural economic development dir</t>
  </si>
  <si>
    <t>12-4177 AG        Agricultural resource conserva</t>
  </si>
  <si>
    <t>69-0747 DOT       Conrail commuter transition as</t>
  </si>
  <si>
    <t>69-0758 DOT       West Virginia rail development</t>
  </si>
  <si>
    <t xml:space="preserve">69-1120 DOT       Administrative expenses       </t>
  </si>
  <si>
    <t xml:space="preserve">69-1121 DOT       Research, training, and human </t>
  </si>
  <si>
    <t>69-1122 DOT       Miscellaneous expired accounts</t>
  </si>
  <si>
    <t>Low Income Home Energy Assistance Program</t>
  </si>
  <si>
    <t>Office of Community Services, ACF</t>
  </si>
  <si>
    <t>YES</t>
  </si>
  <si>
    <t xml:space="preserve">20-5433 TREASURY  Informant payments            </t>
  </si>
  <si>
    <t xml:space="preserve">20-5500 DC        Federal supplemental District </t>
  </si>
  <si>
    <t xml:space="preserve">20-5688 TREASURY  Continued dumping and subsidy </t>
  </si>
  <si>
    <t>Were programmatic goals (and benefits) achieved at the least incremental societal cost and did the program maximize net benefits?</t>
  </si>
  <si>
    <t>Program Type</t>
  </si>
  <si>
    <t>DO NOT ERASE: THESE CELLS ARE FOR RUNNING MACROS</t>
  </si>
  <si>
    <t xml:space="preserve">70-0702 DHS       Disaster Relief               </t>
  </si>
  <si>
    <t>70-0703 DHS       Disaster assistance direct loa</t>
  </si>
  <si>
    <t xml:space="preserve">70-0707 DHS       Emergency food and shelter    </t>
  </si>
  <si>
    <t>Measure New or Under Dvlpmt?</t>
  </si>
  <si>
    <t>Agencies</t>
  </si>
  <si>
    <t>Army Corps of Engineers</t>
  </si>
  <si>
    <t>Broadcasting Board of Governors</t>
  </si>
  <si>
    <t xml:space="preserve">The Office of Community Services (OCS) is undergoing a restructuring process to better address the needs of all OCS programs, including LIHEAP.  It is projected that this process will help eliminate duplication and redirect limited resources, in order to set ambitious program results, however the plan has not yet been implemented and it is not clear how LIHEAP-specific planning deficiencies will be addressed.  </t>
  </si>
  <si>
    <t>OCS has developed targeting indexes for households with elderly and young children as annual performance measures.  Targeting indexes are not calculated for households with a disabled member as States define disability differently.  As aforementioned, these goals are relatively new and show some progress toward achieving the long term goals.</t>
  </si>
  <si>
    <t>Most states have not developed long-term goals for their programs, nor are they required to do so under the block grant structure.  However, each State files an annual LIHEAP program plan that documents how the state will meet the unique needs of its low-income households.  States must conduct outreach activities and can give priority to households with highest home energy needs.  In addition, OCS established the LIHEAP Managing for Results Committee in 1998 which is composed mostly of state LIHEAP directors and seeks to support performance measurement and evaluation efforts.</t>
  </si>
  <si>
    <t>LIHEAP Model Plan and Assurances; Charter of LIHEAP Managing for Results Committee; LIHEAP Household Report; Section 2605 (b) of the LIHEAP statute.</t>
  </si>
  <si>
    <t>The program's budget is not performance-based.  OCS has developed estimates of the amount of fuel assistance funding needed to reduce the home energy burden for all low income households to 10% and 5% of household income.  However, the additional funding needed in reducing home energy burden to a certain level would require that the program be changed from a block grant to an entitlement program.</t>
  </si>
  <si>
    <t>LIHEAP coordinates with DOE's Weatherization Program to allow flexibility for LIHEAP grantees to use DOE, LIHEAP or a combination of each program's rules.  OCS'  LIHEAP Managing for Results Committee is a partnership among states, the National Energy Assistance Directors' Assocication and other entities; OCS also partners with Head Start, Administration on Aging and Administration on Developmental Disabilities.  States are required to coordinate under statutory assurances.</t>
  </si>
  <si>
    <t>The block grant nature of this program does not allow for the measurement of efficiency, however the program has incentives to improve cost effectiveness. The LIHEAP leveraging incentive program awards grantees that have acquired additional non-Federal energy assistance resources to expand the effect of the Federal LIHEAP dollars.  For example, grantees can report the following activities as countable resources under this program: home energy discounts or waivers; forgiveness of energy arrearages; waiver of utility connection fees and donated weatherization materials.  Finally, OCS is developing an integrated MIS system to increase the availability of data on-line and streamline reporting activities.  These IT improvements will provide an efficient and effective use of automation to meet program goals and objectives.</t>
  </si>
  <si>
    <t>OCS collects annual performance data from grantees and a sample of LIHEAP recipients through the Current Population Survey and the Residential Energy Consumption Survey. OCS analyzes the targeting indexes for vulnerable households by Census division to identify those areas where eligible vulnerable households are underserved.  For those underserved locations, OCS concentrates LIHEAP outreach efforts by coordinating with local programs funded by Head Start, the Administration on Developmental Disabilities and the Administration on Aging.</t>
  </si>
  <si>
    <t>There has been no national studies conducted to evaluate program effectiveness and improvement. An evaluation is being planned concerning the targeting of high energy burden households.</t>
  </si>
  <si>
    <t xml:space="preserve">LIHEAP managers, partners and OMB have agreed that the block grant design of the program does not allow for the measurement of outcomes nor an efficiency measure.  Therefore, the program has recently developed measures that are proxies for health and safety outcomes.  These long-term measures focus on targeting assistance.  The program has also identified other goals that are more difficult to measure, but are goals nonetheless.  These include: (1) increasing energy affordability and (2) increasing efficiency of energy usage of low income households (measured by the Department of Energy).  </t>
  </si>
  <si>
    <t xml:space="preserve">LIHEAP does not measure cost-effectiveness.  However, leveraging funds are awarded to LIHEAP grantees that use their own or other non-federal resources to expand effect of Federal LIHEAP dollars.  In FY 2002, $27.5 million was earmarked for levearging incentive grant awards.  In addition, OCS is undergoing a restructuring process that is designed to better serve the administration and grantees.  </t>
  </si>
  <si>
    <t xml:space="preserve">14-5140 DOI       Historic preservation fund    </t>
  </si>
  <si>
    <t>14-5141 DOI       National Indian Gaming Commiss</t>
  </si>
  <si>
    <t>14-5143 DOI       Cooperative endangered species</t>
  </si>
  <si>
    <t>14-5150 DOI       Wildlife conservation and appr</t>
  </si>
  <si>
    <t>69-4186 DOT       Minority business resource cen</t>
  </si>
  <si>
    <t>69-4200 DOT       Orange County (CA) toll road d</t>
  </si>
  <si>
    <t>69-4301 DOT       Federal ship financing fund li</t>
  </si>
  <si>
    <t>69-4302 DOT       War risk insurance revolving f</t>
  </si>
  <si>
    <t>69-4303 DOT       Vessel operations revolving fu</t>
  </si>
  <si>
    <t>69-4304 DOT       Maritime guaranteed loan (titl</t>
  </si>
  <si>
    <t>16-0178 DOL       Payments to the Unemployment t</t>
  </si>
  <si>
    <t>16-0179 DOL       State unemployment insurance a</t>
  </si>
  <si>
    <t xml:space="preserve">16-0200 DOL       Salaries and expenses         </t>
  </si>
  <si>
    <t xml:space="preserve">47-4548 GSA       Information technology fund   </t>
  </si>
  <si>
    <t>47-4549 GSA       Federal citizen information ce</t>
  </si>
  <si>
    <t>47-5250 GSA       Expenses of transportation aud</t>
  </si>
  <si>
    <t>47-5254 GSA       Disposal of surplus real and r</t>
  </si>
  <si>
    <t>48-0052 SJI       State Justice Institute: salar</t>
  </si>
  <si>
    <t xml:space="preserve">48-0500 NWTRB     Salaries and expenses         </t>
  </si>
  <si>
    <t xml:space="preserve">48-1100 ONHIR     Salaries and expenses         </t>
  </si>
  <si>
    <t xml:space="preserve">48-2955 COP       Salaries and expenses         </t>
  </si>
  <si>
    <t>48-2993 USCARC    Contribution to United States-</t>
  </si>
  <si>
    <t xml:space="preserve">19-5121 STATE     Fishermen's guaranty fund     </t>
  </si>
  <si>
    <t>19-5151 STATE     International Center, Washingt</t>
  </si>
  <si>
    <t xml:space="preserve">19-5177 STATE     International litigation fund </t>
  </si>
  <si>
    <t>36-8133 VA        Post-Vietnam era veterans educ</t>
  </si>
  <si>
    <t xml:space="preserve">36-8150 VA        United States Government life </t>
  </si>
  <si>
    <t>36-8180 VA        General post fund, national ho</t>
  </si>
  <si>
    <t>36-8455 VA        Veterans special life insuranc</t>
  </si>
  <si>
    <t xml:space="preserve">41-0100 MSPB      Salaries and expenses         </t>
  </si>
  <si>
    <t xml:space="preserve">45-0100 EEOC      Salaries and expenses         </t>
  </si>
  <si>
    <t>45-4019 EEOC      Education, technical assistanc</t>
  </si>
  <si>
    <t xml:space="preserve">13-4313 DOC       Coastal zone management fund  </t>
  </si>
  <si>
    <t>13-4314 DOC       Fisheries finance guaranteed l</t>
  </si>
  <si>
    <t>13-4316 DOC       Damage assessment and restorat</t>
  </si>
  <si>
    <t xml:space="preserve">80-0111 NASA      Human space flight            </t>
  </si>
  <si>
    <t xml:space="preserve">80-0112 NASA      Mission support               </t>
  </si>
  <si>
    <t>80-0114 NASA      Science, aeronautics, and expl</t>
  </si>
  <si>
    <t xml:space="preserve">80-0115 NASA      Space flight capabilities     </t>
  </si>
  <si>
    <t xml:space="preserve">80-8977 NASA      National Space Grant Program  </t>
  </si>
  <si>
    <t>80-8978 NASA      Science, space, and technology</t>
  </si>
  <si>
    <t>82-1300 NEIGRC    Payment to Neighborhood Reinve</t>
  </si>
  <si>
    <t xml:space="preserve">70-8149 DHS       Boat Safety                   </t>
  </si>
  <si>
    <t>70-8185 DHS       Oil Spill Liability Trust Fund</t>
  </si>
  <si>
    <t xml:space="preserve">49-0180 NSF       Salaries and expenses         </t>
  </si>
  <si>
    <t>49-0300 NSF       Office of the Inspector Genera</t>
  </si>
  <si>
    <t>49-0551 NSF       Major research equipment and f</t>
  </si>
  <si>
    <t xml:space="preserve">49-8960 NSF       Donations                     </t>
  </si>
  <si>
    <t xml:space="preserve">50-0100 SEC       Salaries and expenses         </t>
  </si>
  <si>
    <t>50-4068 SEC       Investment in Securities Inves</t>
  </si>
  <si>
    <t xml:space="preserve">51-4064 FDIC      Bank insurance fund           </t>
  </si>
  <si>
    <t>75-0128 HHS       Office of the Inspector Genera</t>
  </si>
  <si>
    <t xml:space="preserve">75-0142 HHS       Aging services programs       </t>
  </si>
  <si>
    <t xml:space="preserve">75-0320 HHS       Vaccine injury compensation   </t>
  </si>
  <si>
    <t>75-0340 HHS       Health education assistance lo</t>
  </si>
  <si>
    <t xml:space="preserve">12-3320 AG        Water bank program            </t>
  </si>
  <si>
    <t>12-3322 AG        Wildlife habitat incentives pr</t>
  </si>
  <si>
    <t xml:space="preserve">12-3336 AG        Forestry incentives program   </t>
  </si>
  <si>
    <t xml:space="preserve">12-3337 AG        Rural clean water program     </t>
  </si>
  <si>
    <t xml:space="preserve">12-3503 AG        Food donations programs       </t>
  </si>
  <si>
    <t xml:space="preserve">12-3505 AG        Food stamp program            </t>
  </si>
  <si>
    <t xml:space="preserve">12-3507 AG        Commodity assistance program  </t>
  </si>
  <si>
    <t>12-3508 AG        Nutrition programs administrat</t>
  </si>
  <si>
    <t>12-3510 AG        Special supplemental nutrition</t>
  </si>
  <si>
    <t xml:space="preserve">12-3539 AG        Child nutrition programs      </t>
  </si>
  <si>
    <t xml:space="preserve">12-3700 AG        Salaries and expenses         </t>
  </si>
  <si>
    <t>12-4033 AG        Rural business investment prog</t>
  </si>
  <si>
    <t>12-4049 AG        P.L. 480 direct credit financi</t>
  </si>
  <si>
    <t>12-4050 AG        Limitation on inspection and w</t>
  </si>
  <si>
    <t>12-4078 AG        P.L. 480 title I food for prog</t>
  </si>
  <si>
    <t xml:space="preserve">86-0174 HUD       Lead hazard reduction         </t>
  </si>
  <si>
    <t xml:space="preserve">86-0183 HUD       FHA-mutual mortgage insurance </t>
  </si>
  <si>
    <t xml:space="preserve">86-0186 HUD       Guarantees of mortgage-backed </t>
  </si>
  <si>
    <t xml:space="preserve">86-0189 HUD       Office of Inspector General   </t>
  </si>
  <si>
    <t xml:space="preserve">86-0192 HUD       Homeless assistance grants    </t>
  </si>
  <si>
    <t xml:space="preserve">86-0196 HUD       Homeownership and opportunity </t>
  </si>
  <si>
    <t>86-0197 HUD       Drug elimination grants for lo</t>
  </si>
  <si>
    <t>86-0198 HUD       Community development loan gua</t>
  </si>
  <si>
    <t>86-0200 HUD       FHA-general and special risk p</t>
  </si>
  <si>
    <t>20-0119 TREASURY  Inspector General for Treasury</t>
  </si>
  <si>
    <t>20-0121 TREASURY  Expanded access to financial s</t>
  </si>
  <si>
    <t>20-0122 TREASURY  Air transportation stabilizati</t>
  </si>
  <si>
    <t xml:space="preserve">20-0123 TREASURY  Terrorism insurance program   </t>
  </si>
  <si>
    <t>20-0151 CPB       Corporation for Public Broadca</t>
  </si>
  <si>
    <t xml:space="preserve">20-0173 TREASURY  Salaries and expenses         </t>
  </si>
  <si>
    <t>20-0177 TREASURY  Payment to Justice, FIRREA rel</t>
  </si>
  <si>
    <t>20-0501 LEGALSVC  Payment to Legal Services Corp</t>
  </si>
  <si>
    <t>20-0504 TREASURY  Restoration of foregone intere</t>
  </si>
  <si>
    <t xml:space="preserve">13-4564 DOC       Franchise fund                </t>
  </si>
  <si>
    <t xml:space="preserve">13-4650 DOC       Working capital fund          </t>
  </si>
  <si>
    <t xml:space="preserve">13-5120 DOC       Fishermen's contingency fund  </t>
  </si>
  <si>
    <t>States must comply with the Single Audit Act requirements.  States must submit a financial status report each year on how LIHEAP funds are used.  Grantees are required to have provisions in place to prevent waste, fraud and abuse, and have systems to track the accounting of funds.</t>
  </si>
  <si>
    <t xml:space="preserve">91-0102 ED        Impact aid                    </t>
  </si>
  <si>
    <t>69-1752 DOT       Maritime guaranteed loan (titl</t>
  </si>
  <si>
    <t>20-1759 DC        Crime victims compensation fun</t>
  </si>
  <si>
    <t xml:space="preserve">20-1771 DC        Federal payment for emergency </t>
  </si>
  <si>
    <t xml:space="preserve">20-1801 TREASURY  Salaries and expenses         </t>
  </si>
  <si>
    <t xml:space="preserve">20-1802 TREASURY  Financial agent services      </t>
  </si>
  <si>
    <t>20-1811 TREASURY  Payment of anti-terrorism judg</t>
  </si>
  <si>
    <t>20-1851 TREASURY  Payment to the Resolution Fund</t>
  </si>
  <si>
    <t xml:space="preserve">20-1860 TREASURY  Interest on uninvested funds  </t>
  </si>
  <si>
    <t>20-1875 TREASURY  Restitution of forgone interes</t>
  </si>
  <si>
    <t>91-0243 ED        Federal direct student loan pr</t>
  </si>
  <si>
    <t xml:space="preserve">91-0300 ED        Special education             </t>
  </si>
  <si>
    <t>91-0301 ED        Rehabilitation services and di</t>
  </si>
  <si>
    <t>91-0400 ED        Vocational and adult education</t>
  </si>
  <si>
    <t xml:space="preserve">91-0500 ED        Education reform              </t>
  </si>
  <si>
    <t>91-0600 ED        American Printing House for th</t>
  </si>
  <si>
    <t>91-0601 ED        National Technical Institute f</t>
  </si>
  <si>
    <t xml:space="preserve">91-0602 ED        Gallaudet University          </t>
  </si>
  <si>
    <t xml:space="preserve">91-0603 ED        Howard University             </t>
  </si>
  <si>
    <t xml:space="preserve">91-0700 ED        Office for Civil Rights       </t>
  </si>
  <si>
    <t xml:space="preserve">Department of the Interior                                      </t>
  </si>
  <si>
    <t xml:space="preserve">Department of Justice                                           </t>
  </si>
  <si>
    <t xml:space="preserve">Department of Labor                                             </t>
  </si>
  <si>
    <t xml:space="preserve">Department of State                                             </t>
  </si>
  <si>
    <t xml:space="preserve">Department of the Treasury                                      </t>
  </si>
  <si>
    <t xml:space="preserve">Social Security Administration                                  </t>
  </si>
  <si>
    <t>LIHEAP Report to Congress for FY 2001.  LIHEAP Energy Notebook for FY 2001</t>
  </si>
  <si>
    <t>GPRA Reports</t>
  </si>
  <si>
    <t xml:space="preserve">89-5649 DOE       Continuing fund, Southwestern </t>
  </si>
  <si>
    <t xml:space="preserve">89-5653 DOE       Continuing fund, Southeastern </t>
  </si>
  <si>
    <t xml:space="preserve">89-8575 DOE       Advances for cooperative work </t>
  </si>
  <si>
    <t xml:space="preserve">90-0400           Salaries and expenses         </t>
  </si>
  <si>
    <t xml:space="preserve">91-0011 ED        Reading excellence            </t>
  </si>
  <si>
    <t xml:space="preserve">1. On all tabs, you need to input data for only those cells in which the text is colored blue.  All cells that are automatically computed, such as Weighted Score for each question and the Total Section scores, have black text and are locked so cannot be overwritten. Similarly, you will not be allowed to format the sheets by adding any rows or columns; do not unprotect or try to format any of these worksheets, or you will have trouble uploading them the database. </t>
  </si>
  <si>
    <t xml:space="preserve">51-4066 FDIC      Savings association insurance </t>
  </si>
  <si>
    <t xml:space="preserve">51-4595 FDIC      Office of Inspector General   </t>
  </si>
  <si>
    <t>51-4596 FDIC      Federal deposit insurance fund</t>
  </si>
  <si>
    <t xml:space="preserve">54-0100 FLRA      Salaries and expenses         </t>
  </si>
  <si>
    <t>56-3400 CIA       Payment to Central Intelligenc</t>
  </si>
  <si>
    <t>57-0740 DOD       Family housing construction, A</t>
  </si>
  <si>
    <t>57-0745 DOD       Family housing operation and m</t>
  </si>
  <si>
    <t>57-3010 DOD       Aircraft procurement, Air Forc</t>
  </si>
  <si>
    <t>57-3011 DOD       Procurement of ammunition, Air</t>
  </si>
  <si>
    <t>57-3020 DOD       Missile procurement, Air Force</t>
  </si>
  <si>
    <t>72-1035 IAP       International disaster assista</t>
  </si>
  <si>
    <t>72-1036 IAP       Payment to the Foreign Service</t>
  </si>
  <si>
    <t xml:space="preserve">72-1037 IAP       Economic support fund         </t>
  </si>
  <si>
    <t>72-1038 IAP       Central American reconciliatio</t>
  </si>
  <si>
    <t>72-1040 IAP       Sub-Saharan Africa disaster as</t>
  </si>
  <si>
    <t>72-1093 IAP       Assistance for the independent</t>
  </si>
  <si>
    <t>72-1095 IAP       Child survival and disease pro</t>
  </si>
  <si>
    <t xml:space="preserve">72-1096 IAP       Central America and Caribbean </t>
  </si>
  <si>
    <t>72-1264 IAP       Development credit authority p</t>
  </si>
  <si>
    <t xml:space="preserve">69-1768 DOT       Ship disposal                 </t>
  </si>
  <si>
    <t>69-4082 DOT       Minority business resource cen</t>
  </si>
  <si>
    <t>69-4089 DOT       Saint Lawrence Seaway Developm</t>
  </si>
  <si>
    <t>69-4120 DOT       Aviation insurance revolving f</t>
  </si>
  <si>
    <t xml:space="preserve">69-4123 DOT       Transportation infrastructure </t>
  </si>
  <si>
    <t xml:space="preserve">69-4145 DOT       Transportation infrastructure </t>
  </si>
  <si>
    <t>69-4164 DOT       Amtrak corridor improvement di</t>
  </si>
  <si>
    <t xml:space="preserve">69-4173 DOT       Transportation infrastructure </t>
  </si>
  <si>
    <t>Are funds (Federal and partners’) obligated in a timely manner and spent for the intended purpose?</t>
  </si>
  <si>
    <t>Does the program collaborate and coordinate effectively with related programs?</t>
  </si>
  <si>
    <t xml:space="preserve">Has the program taken meaningful steps to address its management deficiencies? </t>
  </si>
  <si>
    <t xml:space="preserve">Has the program demonstrated adequate progress in achieving its long-term performance goals? </t>
  </si>
  <si>
    <t>Does the program (including program partners) achieve its annual performance goals?</t>
  </si>
  <si>
    <t xml:space="preserve">Does the program demonstrate improved efficiencies or cost effectiveness in achieving program goals each year? </t>
  </si>
  <si>
    <t xml:space="preserve">69-0130 DOT       Salaries and expenses         </t>
  </si>
  <si>
    <t xml:space="preserve">16-0177 DOL       Welfare to work jobs          </t>
  </si>
  <si>
    <t xml:space="preserve">International Assistance Programs                               </t>
  </si>
  <si>
    <t xml:space="preserve">Other Defense Civil Programs                                    </t>
  </si>
  <si>
    <t xml:space="preserve">Corps of Engineers-Civil Works                                  </t>
  </si>
  <si>
    <t xml:space="preserve">Administrative Conference of the United States                  </t>
  </si>
  <si>
    <t xml:space="preserve">Advisory Council on Historic Preservation                       </t>
  </si>
  <si>
    <t xml:space="preserve">Appalachian Regional Commission                                 </t>
  </si>
  <si>
    <t xml:space="preserve">69-8350 DOT       Trust fund share of expenses  </t>
  </si>
  <si>
    <t>69-8402 DOT       Right-of-way revolving fund li</t>
  </si>
  <si>
    <t xml:space="preserve">14-1917 DOI       Royalty and offshore minerals </t>
  </si>
  <si>
    <t xml:space="preserve">70-8244 DHS       Gifts and Donations           </t>
  </si>
  <si>
    <t xml:space="preserve">70-8314 DHS       Trust Fund Share of Expenses  </t>
  </si>
  <si>
    <t xml:space="preserve">70-8349 DHS       Oil Spill Recovery            </t>
  </si>
  <si>
    <t xml:space="preserve">70-8533 DHS       General gift fund             </t>
  </si>
  <si>
    <t xml:space="preserve">70-8789 DHS       US Customs Refunds, Transfers </t>
  </si>
  <si>
    <t xml:space="preserve">70-9981 DHS       Miscellaneous Trust Revolving </t>
  </si>
  <si>
    <t>Do all partners (including grantees, sub-grantees, contractors, cost-sharing partners, and other government partners) commit to and work toward the annual and/or long-term goals of the program?</t>
  </si>
  <si>
    <t xml:space="preserve">Are independent evaluations of sufficient scope and quality conducted on a regular basis or as needed to support program improvements and evaluate effectiveness and relevance to the problem, interest, or need? </t>
  </si>
  <si>
    <t>Are Budget requests explicitly tied to accomplishment of the annual and long-term performance goals, and are the resource needs presented in a complete and transparent manner in the program’s budget?</t>
  </si>
  <si>
    <t>Has the program taken meaningful steps to correct its strategic planning deficiencies?</t>
  </si>
  <si>
    <t>http://www.omb.gov/part/</t>
  </si>
  <si>
    <r>
      <t xml:space="preserve">Bureau: </t>
    </r>
    <r>
      <rPr>
        <sz val="10"/>
        <rFont val="Arial"/>
        <family val="2"/>
      </rPr>
      <t xml:space="preserve">Select bureau name, if applicable. Otherwise, leave blank. </t>
    </r>
  </si>
  <si>
    <t xml:space="preserve">15-0324 DOJ       Salaries and expenses, United </t>
  </si>
  <si>
    <t xml:space="preserve">15-0327 DOJ       Independent counsel           </t>
  </si>
  <si>
    <t xml:space="preserve">15-0328 DOJ       Office of Inspector General   </t>
  </si>
  <si>
    <t xml:space="preserve">15-0333 DOJ       Payment to radiation exposure </t>
  </si>
  <si>
    <t xml:space="preserve">15-0334 DOJ       Weed and seed program fund    </t>
  </si>
  <si>
    <t>15-0339 DOJ       Administrative review and appe</t>
  </si>
  <si>
    <t>15-0340 DOJ       September 11th victim compensa</t>
  </si>
  <si>
    <t xml:space="preserve">15-0401 DOJ       Justice assistance            </t>
  </si>
  <si>
    <t>15-0403 DOJ       Public safety officers' benefi</t>
  </si>
  <si>
    <t>15-0404 DOJ       State and local law enforcemen</t>
  </si>
  <si>
    <t xml:space="preserve">15-0405 DOJ       Juvenile justice programs     </t>
  </si>
  <si>
    <t>15-0406 DOJ       Community oriented policing se</t>
  </si>
  <si>
    <t>15-0500 DOJ       Salaries and expenses, Communi</t>
  </si>
  <si>
    <t xml:space="preserve">15-0700 DOJ       Salaries and expenses         </t>
  </si>
  <si>
    <t>15-0701 DOJ       Laboratory facilities and head</t>
  </si>
  <si>
    <t xml:space="preserve">15-1003 DOJ       Buildings and facilities      </t>
  </si>
  <si>
    <t xml:space="preserve">15-1020 DOJ       Federal prisoner detention    </t>
  </si>
  <si>
    <t xml:space="preserve">15-1060 DOJ       Salaries and expenses         </t>
  </si>
  <si>
    <t xml:space="preserve">15-1061 DOJ       Salaries and expenses         </t>
  </si>
  <si>
    <t xml:space="preserve">15-1100 DOJ       Salaries and expense          </t>
  </si>
  <si>
    <t xml:space="preserve">15-1101 DOJ       Construction                  </t>
  </si>
  <si>
    <t>15-4500 DOJ       Federal Prison Industries, Inc</t>
  </si>
  <si>
    <t xml:space="preserve">15-4526 DOJ       Working capital fund          </t>
  </si>
  <si>
    <t>15-4575 DOJ       Justice prisoner and alien tra</t>
  </si>
  <si>
    <t xml:space="preserve">Does the performance of this program compare favorably to other programs, including government, private, etc., with similar purpose and goals? </t>
  </si>
  <si>
    <t xml:space="preserve">Do independent evaluations of sufficient scope and quality indicate that the program is effective and achieving results? </t>
  </si>
  <si>
    <t>78-4171 FCSIC     Farm credit system insurance f</t>
  </si>
  <si>
    <t>78-8202 FCSFAC    Financial assistance corporati</t>
  </si>
  <si>
    <t>11-0074 IAP       Loans to International Monetar</t>
  </si>
  <si>
    <t>11-0076 IAP       Contribution to the Asian Deve</t>
  </si>
  <si>
    <t>11-0077 IAP       Contribution to the Internatio</t>
  </si>
  <si>
    <t>11-0079 IAP       Contribution to the African De</t>
  </si>
  <si>
    <t>11-0084 IAP       Contribution to Multilateral I</t>
  </si>
  <si>
    <t>11-0088 IAP       Contribution to the European B</t>
  </si>
  <si>
    <t xml:space="preserve">LIHEAP targets 2 groups: (1) high-energy burden households, which are households with the lowest incomes and highest home energy costs, and (2) vulnerable households, which consist of frail older individuals, individuals with disabilities, or very young children. Home energy burden for low income households is over four times that of non-low income households-- putting them in danger of safety hazards. Vulnerable households are at risk for health problems due to insufficient home heating or cooling.  </t>
  </si>
  <si>
    <t xml:space="preserve">Critics have argued that the LIHEAP formula should be revised to be more equitable for states. The current formula includes factors related to energy expenditures, low-income populations and climate and favors Northeast and Midwest states. The revised LIHEAP formula distributes funds according to each states' share of expenditures by low income households for home energy-- however it is implemented only when appropriations go above $1.975 billion in a given year, which has occurred twice since it was established. The statute for this formula provides for "hold-harmless provisions", in which no grantee is to get less under the new formula than they received under the old formula with an appropriation of $1.975 billion.  The new formula gives more weight to warm weather, which means that Southern and Western states fair better when the new formula is activated than they do under the current. </t>
  </si>
  <si>
    <t xml:space="preserve">LIHEAP's GPRA plan tracks and insures that resources reach intended beneficiaries; the measures specificially focus on targeting vulnerable and high energy burden households.  In addition, the LIHEAP statute provides contingency funds which are targeted to those states, territories and tribes most affected by an emergency.   </t>
  </si>
  <si>
    <t xml:space="preserve">Broadcasting Board of Governors                                 </t>
  </si>
  <si>
    <t xml:space="preserve">Commission on Ocean Policy                                      </t>
  </si>
  <si>
    <t xml:space="preserve">Oklahoma City National Memorial Trust                           </t>
  </si>
  <si>
    <t xml:space="preserve">Delta Regional Authority                                        </t>
  </si>
  <si>
    <t xml:space="preserve">National Veterans Business Development Corporation              </t>
  </si>
  <si>
    <t xml:space="preserve">Vietnam Education Foundation                                    </t>
  </si>
  <si>
    <t xml:space="preserve">United States-Canada Alaska Rail Commission                     </t>
  </si>
  <si>
    <t xml:space="preserve">Office of Special Counsel                                       </t>
  </si>
  <si>
    <t xml:space="preserve">Panama Canal Commission                                         </t>
  </si>
  <si>
    <t xml:space="preserve">Postal Service                                                  </t>
  </si>
  <si>
    <t xml:space="preserve">Railroad Retirement Board                                       </t>
  </si>
  <si>
    <t xml:space="preserve">Resolution Trust Corporation                                    </t>
  </si>
  <si>
    <t xml:space="preserve">Securities and Exchange Commission                              </t>
  </si>
  <si>
    <t xml:space="preserve">Smithsonian Institution                                         </t>
  </si>
  <si>
    <t xml:space="preserve">State Justice Institute                                         </t>
  </si>
  <si>
    <t xml:space="preserve">36-0160 VA        Medical care                  </t>
  </si>
  <si>
    <t>36-0161 VA        Medical and prosthetic researc</t>
  </si>
  <si>
    <t xml:space="preserve">36-0170 VA        Office of Inspector General   </t>
  </si>
  <si>
    <t xml:space="preserve">36-1119 VA        Housing program account       </t>
  </si>
  <si>
    <t>36-4009 VA        Servicemembers' group life ins</t>
  </si>
  <si>
    <t>36-4010 VA        Veterans reopened insurance fu</t>
  </si>
  <si>
    <t>36-4012 VA        Service-disabled veterans insu</t>
  </si>
  <si>
    <t>36-4014 VA        Canteen service revolving fund</t>
  </si>
  <si>
    <t xml:space="preserve">36-4025 VA        Housing liquidating account   </t>
  </si>
  <si>
    <t>36-4026 VA        Medical center research organi</t>
  </si>
  <si>
    <t>69-8159 DOT       Motor Carrier Safety Operation</t>
  </si>
  <si>
    <r>
      <t xml:space="preserve">Type of Program: </t>
    </r>
    <r>
      <rPr>
        <sz val="10"/>
        <rFont val="Arial"/>
        <family val="2"/>
      </rPr>
      <t xml:space="preserve">Choose from drop down list. If the program is a mix of types, you can enter up to 3 types - one each in cells C4, D4, E4. </t>
    </r>
  </si>
  <si>
    <t xml:space="preserve">Federal Home Loan Mortgage Corporation                          </t>
  </si>
  <si>
    <t xml:space="preserve">Federal National Mortgage Association                           </t>
  </si>
  <si>
    <t xml:space="preserve">Student Loan Marketing Association                              </t>
  </si>
  <si>
    <t>Financing Vehicles and the Board of Governors of the Federal Res</t>
  </si>
  <si>
    <t xml:space="preserve">Individual Income Taxes                                         </t>
  </si>
  <si>
    <t xml:space="preserve">Corporation Income Taxes                                        </t>
  </si>
  <si>
    <t xml:space="preserve">Social Insurance Taxes and Contributions                        </t>
  </si>
  <si>
    <t xml:space="preserve">Excise Taxes                                                    </t>
  </si>
  <si>
    <t xml:space="preserve">Estate and Gift Taxes                                           </t>
  </si>
  <si>
    <t xml:space="preserve">Customs Duties                                                  </t>
  </si>
  <si>
    <t xml:space="preserve">Misc. Governmental Receipts                                     </t>
  </si>
  <si>
    <t xml:space="preserve">Misc Adjustments to Revenues                                    </t>
  </si>
  <si>
    <t>11-0003 IAP       United States quota, Internati</t>
  </si>
  <si>
    <t>11-0033           Unanticipated needs for natura</t>
  </si>
  <si>
    <t xml:space="preserve">11-0034           Emergency response fund       </t>
  </si>
  <si>
    <t xml:space="preserve">11-0037           Unanticipated needs           </t>
  </si>
  <si>
    <t>11-0040 STATE     United States emergency refuge</t>
  </si>
  <si>
    <t>11-0060           Election administration reform</t>
  </si>
  <si>
    <t>11-0072 IAP       Contribution to the Inter-Amer</t>
  </si>
  <si>
    <t>11-0073 IAP       Contribution to the Internatio</t>
  </si>
  <si>
    <t>ACCOUNTS</t>
  </si>
  <si>
    <t>AGENCIES</t>
  </si>
  <si>
    <t>86-0324 HUD       Rural housing and economic dev</t>
  </si>
  <si>
    <t xml:space="preserve">86-0331 HUD       Moving to work                </t>
  </si>
  <si>
    <t>86-0332 HUD       Housing assistance for needy f</t>
  </si>
  <si>
    <t xml:space="preserve">86-0400 HUD       Samaritan housing             </t>
  </si>
  <si>
    <t>86-4015 HUD       Revolving fund (liquidating pr</t>
  </si>
  <si>
    <t>86-4041 HUD       Rental housing assistance fund</t>
  </si>
  <si>
    <t xml:space="preserve">86-4043 HUD       Homeownership assistance fund </t>
  </si>
  <si>
    <t>Header Information</t>
  </si>
  <si>
    <t>11-1082 IAP       Foreign military financing pro</t>
  </si>
  <si>
    <t>11-1085 IAP       Foreign military financing loa</t>
  </si>
  <si>
    <t>11-1453           Council on Environmental Quali</t>
  </si>
  <si>
    <t>11-1454           Special Assistance to the Pres</t>
  </si>
  <si>
    <t>CY                             Budget Authority        (in millions)</t>
  </si>
  <si>
    <t>BY                             Budget Authority        (in millions)</t>
  </si>
  <si>
    <t>PY               Obligations (in millions)</t>
  </si>
  <si>
    <t>Program Funding Level</t>
  </si>
  <si>
    <t>Prior Year (PY)</t>
  </si>
  <si>
    <t>Current Year (CY)</t>
  </si>
  <si>
    <t>Budget Year (BY)</t>
  </si>
  <si>
    <t>Composition of Program Funding Level</t>
  </si>
  <si>
    <t>PART Program Funding Information</t>
  </si>
  <si>
    <t>Program Obligations and BA by Account</t>
  </si>
  <si>
    <t xml:space="preserve">96-4902 COE       Revolving fund                </t>
  </si>
  <si>
    <t>96-8217 COE       South Dakota terrestrial wildl</t>
  </si>
  <si>
    <t>96-8333 COE       Coastal wetlands restoration t</t>
  </si>
  <si>
    <t>96-8862 COE       Rivers and harbors contributed</t>
  </si>
  <si>
    <t xml:space="preserve">96-8863 COE       Harbor maintenance trust fund </t>
  </si>
  <si>
    <t xml:space="preserve">96-9921 COE       Permanent appropriations      </t>
  </si>
  <si>
    <t>97-0040           Payment to military retirement</t>
  </si>
  <si>
    <t>97-0099 DOD       Counter-terrorism and operatio</t>
  </si>
  <si>
    <t>97-0100 DOD       Operation and maintenance, Def</t>
  </si>
  <si>
    <t>97-0104 DOD       United States Courts of Appeal</t>
  </si>
  <si>
    <t>97-0105 DOD       Drug interdiction and counter-</t>
  </si>
  <si>
    <t>97-0107 DOD       Office of the Inspector Genera</t>
  </si>
  <si>
    <t>97-0118 DOD       Overseas contingency operation</t>
  </si>
  <si>
    <t xml:space="preserve">97-0130 DOD       Defense health program        </t>
  </si>
  <si>
    <t xml:space="preserve">97-0132 DOD       Disaster relief               </t>
  </si>
  <si>
    <t>97-0134 DOD       Former Soviet Union threat red</t>
  </si>
  <si>
    <t xml:space="preserve">97-0300 DOD       Procurement, Defense-wide     </t>
  </si>
  <si>
    <t>97-0350 DOD       National guard and reserve equ</t>
  </si>
  <si>
    <t>97-0360 DOD       Defense production act purchas</t>
  </si>
  <si>
    <t>97-0400 DOD       Research, development, test, a</t>
  </si>
  <si>
    <t>97-0450 DOD       Developmental test and evaluat</t>
  </si>
  <si>
    <t xml:space="preserve">11-0209           Office of Policy Development  </t>
  </si>
  <si>
    <t>11-0300           Office of Management and Budge</t>
  </si>
  <si>
    <t>11-0400           Office of the United States Tr</t>
  </si>
  <si>
    <t>11-0700 IAP       African Development Foundation</t>
  </si>
  <si>
    <t xml:space="preserve">11-1001 IAP       Trade and Development Agency  </t>
  </si>
  <si>
    <t>11-1008 IAP       North American Development Ban</t>
  </si>
  <si>
    <t>11-1039 IAP       Contributions to the Internati</t>
  </si>
  <si>
    <t>11-1044 IAP       Economic support fund transfer</t>
  </si>
  <si>
    <t>11-1045 IAP       International affairs technica</t>
  </si>
  <si>
    <t>11-1070 DRUGCNTL  High-intensity drug traffickin</t>
  </si>
  <si>
    <t>11-1071 IAP       Nonproliferation and disarmame</t>
  </si>
  <si>
    <t xml:space="preserve">11-1073           Armstrong resolution account  </t>
  </si>
  <si>
    <t>11-1075 IAP       Nonproliferation, antiterroris</t>
  </si>
  <si>
    <t>11-1081 IAP       International military educati</t>
  </si>
  <si>
    <t>97-8168 DOD       National security education tr</t>
  </si>
  <si>
    <t>97-8335 DOD       Voluntary separation incentive</t>
  </si>
  <si>
    <t>97-8337 DOD       Host nation support fund for r</t>
  </si>
  <si>
    <t xml:space="preserve">97-9912 DOD       Other legislation             </t>
  </si>
  <si>
    <t>97-9918 DOD       General transfer authority out</t>
  </si>
  <si>
    <t xml:space="preserve">97-9922 DOD       Miscellaneous special funds   </t>
  </si>
  <si>
    <t>97-9927 DOD       Allied contributions and coope</t>
  </si>
  <si>
    <t>Long-term</t>
  </si>
  <si>
    <t>Outcome</t>
  </si>
  <si>
    <t xml:space="preserve">19-0524 STATE     Buying power maintenance      </t>
  </si>
  <si>
    <t>19-0525 STATE     Payment to the Asia Foundation</t>
  </si>
  <si>
    <t>19-0529 STATE     Office of the Inspector Genera</t>
  </si>
  <si>
    <t>12-1907 AG        Rural business investment prog</t>
  </si>
  <si>
    <t>12-1908 AG        Renewable energy program accou</t>
  </si>
  <si>
    <t>12-1953 AG        Rural housing assistance grant</t>
  </si>
  <si>
    <t xml:space="preserve">12-1954 AG        Farm labor program account    </t>
  </si>
  <si>
    <t>12-1955 AG        Rural strategic investment pro</t>
  </si>
  <si>
    <t xml:space="preserve">12-1956 AG        Rural community grants        </t>
  </si>
  <si>
    <t xml:space="preserve">12-2002 AG        Rural housing voucher program </t>
  </si>
  <si>
    <t>12-2006 AG        Mutual and self-help housing g</t>
  </si>
  <si>
    <t xml:space="preserve">12-2042 AG        High energy cost grants       </t>
  </si>
  <si>
    <t>12-2067 AG        Rural community fire protectio</t>
  </si>
  <si>
    <t>12-2069 AG        Rural development loan fund pr</t>
  </si>
  <si>
    <t>12-2081 AG        Rural housing insurance fund p</t>
  </si>
  <si>
    <t>12-2086 AG        Agricultural resource conserva</t>
  </si>
  <si>
    <t>12-2268 AG        Great plains conservation prog</t>
  </si>
  <si>
    <t>12-2271 AG        Public Law 480 title I ocean f</t>
  </si>
  <si>
    <t>12-2274 AG        Expenses, Public Law 480, fore</t>
  </si>
  <si>
    <t>12-2277 AG        Public law 480 title I program</t>
  </si>
  <si>
    <t>12-2278 AG        Public law 480 title II grants</t>
  </si>
  <si>
    <t xml:space="preserve">12-2300 AG        Office of the General Counsel </t>
  </si>
  <si>
    <t xml:space="preserve">12-2400 AG        Salaries and expenses         </t>
  </si>
  <si>
    <t xml:space="preserve">12-2500 AG        Marketing services            </t>
  </si>
  <si>
    <t>12-2501 AG        Payments to States and possess</t>
  </si>
  <si>
    <t xml:space="preserve">12-2701 AG        Tree assistance program       </t>
  </si>
  <si>
    <t>12-2707 AG        Administrative and operating e</t>
  </si>
  <si>
    <t xml:space="preserve">12-2900 AG        Salaries and expenses         </t>
  </si>
  <si>
    <t>12-2903 AG        McGovern-Dole international fo</t>
  </si>
  <si>
    <t>12-3104 AG        Rural economic development loa</t>
  </si>
  <si>
    <t>12-3105 AG        Rural economic development gra</t>
  </si>
  <si>
    <t>12-3108 AG        Rural economic development loa</t>
  </si>
  <si>
    <t>12-3301 AG        Farm storage facility loans pr</t>
  </si>
  <si>
    <t xml:space="preserve">12-3302 AG        Apple loans program account   </t>
  </si>
  <si>
    <t>12-3303 AG        Emergency boll weevil loan pro</t>
  </si>
  <si>
    <t>Is the program purpose clear?</t>
  </si>
  <si>
    <t>Does the program have a limited number of specific long-term performance measures that focus on outcomes and meaningfully reflect the purpose of the program?</t>
  </si>
  <si>
    <t>3.BF1</t>
  </si>
  <si>
    <t>3.BF2</t>
  </si>
  <si>
    <t>2.CA1</t>
  </si>
  <si>
    <t>3.CA1</t>
  </si>
  <si>
    <t>4.CA1</t>
  </si>
  <si>
    <t>3.CO1</t>
  </si>
  <si>
    <t>3.CO2</t>
  </si>
  <si>
    <t>3.CO3</t>
  </si>
  <si>
    <t>3.CR1</t>
  </si>
  <si>
    <t>3.CR2</t>
  </si>
  <si>
    <t>2.RG1</t>
  </si>
  <si>
    <t>3.RG1</t>
  </si>
  <si>
    <t>3.RG2</t>
  </si>
  <si>
    <t>3.RG3</t>
  </si>
  <si>
    <t>3.RG4</t>
  </si>
  <si>
    <t>4.RG1</t>
  </si>
  <si>
    <t>2.RD1</t>
  </si>
  <si>
    <t>Does the program have procedures (e.g. competitive sourcing/cost comparisons, IT improvements, appropriate incentives) to measure and achieve efficiencies and cost effectiveness in program execution?</t>
  </si>
  <si>
    <t>20-8526 TREASURY  Violent crime reduction progra</t>
  </si>
  <si>
    <t xml:space="preserve">20-8861 COE       Inland waterways trust fund   </t>
  </si>
  <si>
    <t xml:space="preserve">21-0390 DOD       Chemical agents and munitions </t>
  </si>
  <si>
    <t>21-0720 DOD       Family housing construction, A</t>
  </si>
  <si>
    <t>21-0725 DOD       Family housing operation and m</t>
  </si>
  <si>
    <t xml:space="preserve">21-1805           Salaries and expenses         </t>
  </si>
  <si>
    <t xml:space="preserve">21-2010 DOD       Military personnel, Army      </t>
  </si>
  <si>
    <t>21-2020 DOD       Operation and maintenance, Arm</t>
  </si>
  <si>
    <t>86-4077 HUD       FHA-general and special risk g</t>
  </si>
  <si>
    <t>86-4096 HUD       Community development loan gua</t>
  </si>
  <si>
    <t>86-4097 HUD       Community development loan gua</t>
  </si>
  <si>
    <t>86-4098 HUD       Low-rent public housing--loans</t>
  </si>
  <si>
    <t xml:space="preserve">86-4104 HUD       Indian housing loan guarantee </t>
  </si>
  <si>
    <t>86-4105 HUD       FHA-general and special risk d</t>
  </si>
  <si>
    <t>86-4106 HUD       FHA-loan guarantee recovery fu</t>
  </si>
  <si>
    <t>86-4115 HUD       Housing for the elderly or han</t>
  </si>
  <si>
    <t xml:space="preserve">86-4238 HUD       Guarantees of mortgage-backed </t>
  </si>
  <si>
    <t xml:space="preserve">86-4240 HUD       Guarantees of mortgage-backed </t>
  </si>
  <si>
    <t xml:space="preserve">86-4242 HUD       FHA-mutual mortgage insurance </t>
  </si>
  <si>
    <t>86-4244 HUD       Title VI Indian Federal guaran</t>
  </si>
  <si>
    <t>86-4351 HUD       Native Hawaiian Housing Loan G</t>
  </si>
  <si>
    <t>86-4352 HUD       Public housing reform initiati</t>
  </si>
  <si>
    <t xml:space="preserve">86-4586 HUD       Working capital fund          </t>
  </si>
  <si>
    <t xml:space="preserve">86-4587 HUD       FHA-mutual mortgage insurance </t>
  </si>
  <si>
    <t>86-5271 HUD       Manufactured home inspection a</t>
  </si>
  <si>
    <t>NOTE</t>
  </si>
  <si>
    <t>86-0162 HUD       Community development block gr</t>
  </si>
  <si>
    <t xml:space="preserve">86-0163 HUD       Public housing operating fund </t>
  </si>
  <si>
    <t>86-0170 HUD       Urban development action grant</t>
  </si>
  <si>
    <t>NO</t>
  </si>
  <si>
    <t>20-5080 TREASURY  Gifts to the United States for</t>
  </si>
  <si>
    <t>20-5081 TREASURY  Presidential election campaign</t>
  </si>
  <si>
    <t>Enter long-term and annual performance measures information in the "Measures" tab.</t>
  </si>
  <si>
    <t xml:space="preserve">Legislative Branch                                              </t>
  </si>
  <si>
    <t xml:space="preserve">Judicial Branch                                                 </t>
  </si>
  <si>
    <t>13-5139 DOC       Promote and develop fishery pr</t>
  </si>
  <si>
    <t>28-0406 SSA       Supplemental security income p</t>
  </si>
  <si>
    <t xml:space="preserve">28-5419 SSA       State supplemental fees       </t>
  </si>
  <si>
    <t>28-8704 SSA       Limitation on administrative e</t>
  </si>
  <si>
    <t xml:space="preserve">29-0100 FTC       Salaries and expenses         </t>
  </si>
  <si>
    <t xml:space="preserve">31-0200 NRC       Salaries and expenses         </t>
  </si>
  <si>
    <t>20-0921 TREASURY  Business systems modernization</t>
  </si>
  <si>
    <t>20-0922 TREASURY  Payment where child credit exc</t>
  </si>
  <si>
    <t>20-0923 TREASURY  Payment where health care cred</t>
  </si>
  <si>
    <t>20-0927 TREASURY  Payment where alternative to f</t>
  </si>
  <si>
    <t>20-0928 TREASURY  Health insurance tax credit ad</t>
  </si>
  <si>
    <t xml:space="preserve">20-0929 TREASURY  Collection Contractor Support </t>
  </si>
  <si>
    <t xml:space="preserve">20-1008 TREASURY  Salaries and expenses         </t>
  </si>
  <si>
    <t>20-1501 TREASURY  Interagency crime and drug enf</t>
  </si>
  <si>
    <t>20-1707 DC        Federal support for economic d</t>
  </si>
  <si>
    <t xml:space="preserve">34-0100 ITC       Salaries and expenses         </t>
  </si>
  <si>
    <t xml:space="preserve">36-0102 VA        Compensation                  </t>
  </si>
  <si>
    <t xml:space="preserve">36-0120 VA        Insurance                     </t>
  </si>
  <si>
    <t xml:space="preserve">36-0129 VA        Burial benefits               </t>
  </si>
  <si>
    <t xml:space="preserve">36-0135 VA        Vocational rehabilitation and </t>
  </si>
  <si>
    <r>
      <t xml:space="preserve">Measure New or Under Development?: </t>
    </r>
    <r>
      <rPr>
        <sz val="10"/>
        <rFont val="Arial"/>
        <family val="2"/>
      </rPr>
      <t xml:space="preserve">Allows the Examiner to indicate if, for example, the program has no appropriate annual measure, but that one is under development. May be left blank.                                                                                                                                                         Baseline/Target Under Development? Allows the Examiner to indicate if the measure exists, but is new and/or the program is still establishing targets and/or a baseline. May be left blank.                                                   </t>
    </r>
    <r>
      <rPr>
        <b/>
        <sz val="10"/>
        <rFont val="Arial"/>
        <family val="2"/>
      </rPr>
      <t xml:space="preserve">If additional space is needed: </t>
    </r>
    <r>
      <rPr>
        <sz val="10"/>
        <rFont val="Arial"/>
        <family val="2"/>
      </rPr>
      <t xml:space="preserve">There is room for 15 measures to be entered. If more rows are needed, please contact a PET representative. </t>
    </r>
  </si>
  <si>
    <r>
      <t xml:space="preserve">Program Funding Level: </t>
    </r>
    <r>
      <rPr>
        <sz val="10"/>
        <rFont val="Arial"/>
        <family val="0"/>
      </rPr>
      <t xml:space="preserve">Allows the Examiner to enter Program Funding Level, defined as resources available to the program. Should include and explain all sources of funding, such as BA, user fees, transfers, etc.  </t>
    </r>
  </si>
  <si>
    <r>
      <t xml:space="preserve">Treasury Accounts: </t>
    </r>
    <r>
      <rPr>
        <sz val="10"/>
        <rFont val="Arial"/>
        <family val="2"/>
      </rPr>
      <t>Allows the Examiner to enter Treasury Account numbers for all accounts that are used to fund the program.The Treasury Accounts are provided in a drop-down box. For programs funded by a single account, there would be just one row of information.  For programs funded by multiple accounts, there would be a row for each account.</t>
    </r>
  </si>
  <si>
    <r>
      <t xml:space="preserve">Obligations and BA: </t>
    </r>
    <r>
      <rPr>
        <sz val="10"/>
        <rFont val="Arial"/>
        <family val="2"/>
      </rPr>
      <t xml:space="preserve">For comparison with other budget data, allows Examiner to enter program budget authority and obligations associated with each account for PY, CY and BY. If numbers entered are not strictly obligations and BA, an explanation of the data must be provided. Please note that the numbers entered here should be consistent with the Budget Appendix. </t>
    </r>
  </si>
  <si>
    <t xml:space="preserve">Derives the Total Program Score by weighting all four sectional scores. This worksheet requires no data entry; it is all calculated by formula and therefore locked for editing.  </t>
  </si>
  <si>
    <t>INSTRUCTIONS</t>
  </si>
  <si>
    <t xml:space="preserve">Complete guidance for the completing the Program Assessment Rating Tool can be downloaded at: </t>
  </si>
  <si>
    <t xml:space="preserve">General Information </t>
  </si>
  <si>
    <t xml:space="preserve">This workbook contains several tabs for collecting information: PART Questions &amp; Section Scoring, Measures, Account Info, and Program Summary. The components of each tab are described below. </t>
  </si>
  <si>
    <t xml:space="preserve">12-1900 AG        Rural cooperative development </t>
  </si>
  <si>
    <t>12-1906 AG        National Sheep Industry Improv</t>
  </si>
  <si>
    <t>14-9921 DOI       Miscellaneous permanent paymen</t>
  </si>
  <si>
    <t>14-9924 DOI       Other permanent appropriations</t>
  </si>
  <si>
    <t>14-9925 DOI       Miscellaneous permanent approp</t>
  </si>
  <si>
    <t xml:space="preserve">14-9926 DOI       Permanent operating funds     </t>
  </si>
  <si>
    <t>14-9927 DOI       Miscellaneous permanent approp</t>
  </si>
  <si>
    <t>14-9928 DOI       Recreation fee permanent appro</t>
  </si>
  <si>
    <t xml:space="preserve">14-9971 DOI       Miscellaneous trust funds     </t>
  </si>
  <si>
    <t xml:space="preserve">14-9972 DOI       Miscellaneous trust funds     </t>
  </si>
  <si>
    <t>15-0100 DOJ       Salaries and expenses, Foreign</t>
  </si>
  <si>
    <t xml:space="preserve">15-0105 DOJ       Administrative expenses       </t>
  </si>
  <si>
    <t>15-0128 DOJ       Salaries and expenses, General</t>
  </si>
  <si>
    <t xml:space="preserve">15-0129 DOJ       Salaries and expenses         </t>
  </si>
  <si>
    <t xml:space="preserve">15-0130 DOJ       Counterterrorism fund         </t>
  </si>
  <si>
    <t xml:space="preserve">15-0132 DOJ       Narrowband communications     </t>
  </si>
  <si>
    <t xml:space="preserve">15-0133 DOJ       Construction                  </t>
  </si>
  <si>
    <t>15-0134 DOJ       Identification systems integra</t>
  </si>
  <si>
    <t xml:space="preserve">15-0136 DOJ       Detention trustee             </t>
  </si>
  <si>
    <t>15-0137 DOJ       Legal activities office automa</t>
  </si>
  <si>
    <t xml:space="preserve">15-0200 DOJ       Salaries and expenses         </t>
  </si>
  <si>
    <r>
      <t>Name of Program:</t>
    </r>
    <r>
      <rPr>
        <sz val="10"/>
        <rFont val="Arial"/>
        <family val="2"/>
      </rPr>
      <t xml:space="preserve"> Type in program name. </t>
    </r>
  </si>
  <si>
    <r>
      <t xml:space="preserve">Program ID: </t>
    </r>
    <r>
      <rPr>
        <sz val="10"/>
        <rFont val="Arial"/>
        <family val="2"/>
      </rPr>
      <t xml:space="preserve">Will be provided once a list of all programs to be assessed this year is final.  </t>
    </r>
  </si>
  <si>
    <r>
      <t>Agency:</t>
    </r>
    <r>
      <rPr>
        <sz val="10"/>
        <rFont val="Arial"/>
        <family val="2"/>
      </rPr>
      <t xml:space="preserve"> Select an agency from the drop down list. </t>
    </r>
  </si>
  <si>
    <t>Note for R&amp;D programs (Q 1.5) : This question is central to prospective R&amp;D program planning to address the relevance criteria.</t>
  </si>
  <si>
    <t>Section I Score</t>
  </si>
  <si>
    <t>Section II Score</t>
  </si>
  <si>
    <t>Cells shaded blue will be blank.</t>
  </si>
  <si>
    <t xml:space="preserve">General Information about this tab: </t>
  </si>
  <si>
    <r>
      <t xml:space="preserve">Measure term: </t>
    </r>
    <r>
      <rPr>
        <sz val="10"/>
        <rFont val="Arial"/>
        <family val="2"/>
      </rPr>
      <t xml:space="preserve">Allows the Examiner  to designate the measure as Long-term or Annual as appropriate.                                       </t>
    </r>
    <r>
      <rPr>
        <b/>
        <sz val="10"/>
        <rFont val="Arial"/>
        <family val="2"/>
      </rPr>
      <t xml:space="preserve"> </t>
    </r>
    <r>
      <rPr>
        <sz val="10"/>
        <rFont val="Arial"/>
        <family val="2"/>
      </rPr>
      <t xml:space="preserve">                               </t>
    </r>
  </si>
  <si>
    <r>
      <t>Explanation:</t>
    </r>
    <r>
      <rPr>
        <sz val="10"/>
        <rFont val="Arial"/>
        <family val="2"/>
      </rPr>
      <t xml:space="preserve"> Allows the Examiner to provide an explanation of the measure if necessary to understand the measure alone.  This cell may be left blank. Please keep in mind that this explanation will need to conform to space limitations if printed in a budget summary, so long explanations will likely need to be edited before printing.   </t>
    </r>
    <r>
      <rPr>
        <i/>
        <sz val="10"/>
        <rFont val="Arial"/>
        <family val="2"/>
      </rPr>
      <t>Example from a PART summary sheet in the FY 2004 Budget:</t>
    </r>
    <r>
      <rPr>
        <sz val="10"/>
        <rFont val="Arial"/>
        <family val="2"/>
      </rPr>
      <t xml:space="preserve">  Measure -"proportion of health professionals completing funded program that are serving in medically underserved communities"         Explanation: "These communities have too few primary care physicians, higher infant mortality rates, lower family incomes and often an older population."</t>
    </r>
  </si>
  <si>
    <t>46-0200 ARC       Appalachian Regional Commissio</t>
  </si>
  <si>
    <t xml:space="preserve">46-9971 ARC       Miscellaneous trust funds     </t>
  </si>
  <si>
    <t xml:space="preserve">Department of Education                                         </t>
  </si>
  <si>
    <t>19-5497 STATE     Foreign service national defin</t>
  </si>
  <si>
    <t>19-8186 STATE     Foreign Service retirement and</t>
  </si>
  <si>
    <t>19-8340 STATE     Foreign Service national separ</t>
  </si>
  <si>
    <t xml:space="preserve">19-9971 STATE     Miscellaneous trust funds     </t>
  </si>
  <si>
    <t xml:space="preserve">20-0101 TREASURY  Salaries and expenses         </t>
  </si>
  <si>
    <t xml:space="preserve">20-0106 TREASURY  Office of Inspector General   </t>
  </si>
  <si>
    <t>20-0108 TREASURY  Treasury building and annex re</t>
  </si>
  <si>
    <t xml:space="preserve">36-0137 VA        Education                     </t>
  </si>
  <si>
    <t xml:space="preserve">36-0140 VA        Vocational rehabilitation and </t>
  </si>
  <si>
    <t xml:space="preserve">36-0151 VA        General administration        </t>
  </si>
  <si>
    <t xml:space="preserve">36-0154 VA        Pensions                      </t>
  </si>
  <si>
    <t xml:space="preserve">86-0320 HUD       Housing for the elderly       </t>
  </si>
  <si>
    <t>Measure</t>
  </si>
  <si>
    <t>Year</t>
  </si>
  <si>
    <t xml:space="preserve">86-4044 HUD       Flexible subsidy fund         </t>
  </si>
  <si>
    <t>Sections 2602(a)  and 2603(4) of the LIHEAP statute (Title III, P.L. 105-285); Conference Report accompanying S. 2000; House Report accompanying HR 4250</t>
  </si>
  <si>
    <t xml:space="preserve">Sec. 2605(b) of the LIHEAP statute and LIHEAP IM96-02; LIHEAP Household Report; ACF GPRA Report  </t>
  </si>
  <si>
    <t>ACF GPRA Reports</t>
  </si>
  <si>
    <t>ACF's LIHEAP GPRA report for targeting index data; FY 2001 LIHEAP Home Energy Notebook</t>
  </si>
  <si>
    <t>LIHEAP Report to Congress for FY 2001; LIHEAP Energy Notebook for FY 2001; LIHEAP Household Report; LIHEAP Grantee Survey; OCS Restructuring Plan (to be published in the Federal Register)</t>
  </si>
  <si>
    <t>ACF Manager Work Plans; ACF Employee Performance Management System (EPMS); Single Audit Act; LIHEAP Report to Congress for FY 2001; Section 2605(b) of the LIHEAP statute</t>
  </si>
  <si>
    <t>OMB Circular A-128; Section 2605(b)(10) of the LIHEAP Statute; Block Grant Regs: 96.87; 96.30; SF 269-A, Financial Status Report</t>
  </si>
  <si>
    <t xml:space="preserve">Annual state LIHEAP plans, Section 2605 of the LIHEAP statute; OCS/LIHEAP Compliance Review Monitoring Instrument </t>
  </si>
  <si>
    <t>OCS restructuring  (TBA Fed Register); LIHEAP IM-2002-14</t>
  </si>
  <si>
    <t>LIHEAP GPRA Reports; Report: "Accountability for Block Grants" issued to President's Council on Integrity and Efficiency (Feb 2002)</t>
  </si>
  <si>
    <t>An annual review of grantees’ LIHEAP plan applications is conducted to determine program completeness, with a check to determine compliance with the LIHEAP statute.  LIHEAP program staff conduct compliance reviews of states and, in turn, states monitor local agency compliance with the law.</t>
  </si>
  <si>
    <t>Oak Ridge Report: "Weatherization Works: Final Report of the National Weatherization Evaluation" (Sept 94)</t>
  </si>
  <si>
    <t xml:space="preserve">65-0100 FMC       Salaries and expenses         </t>
  </si>
  <si>
    <t>Question Weighting</t>
  </si>
  <si>
    <t xml:space="preserve">12-1119 AG        Management of national forest </t>
  </si>
  <si>
    <t xml:space="preserve">12-1140 AG        Agricultural credit insurance </t>
  </si>
  <si>
    <t>12-1230 AG        Rural electrification and tele</t>
  </si>
  <si>
    <t>12-1231 AG        Rural telephone bank program a</t>
  </si>
  <si>
    <t>12-1232 AG        Distance learning, telemedicin</t>
  </si>
  <si>
    <t>12-1233 AG        Local television loan guarante</t>
  </si>
  <si>
    <t>12-1336 AG        Commodity Credit Corporation e</t>
  </si>
  <si>
    <t xml:space="preserve">12-1400 AG        Salaries and expenses         </t>
  </si>
  <si>
    <t xml:space="preserve">12-1401 AG        Buildings and facilities      </t>
  </si>
  <si>
    <t>12-1404 AG        Scientific activities overseas</t>
  </si>
  <si>
    <t>12-1500 AG        Research and education activit</t>
  </si>
  <si>
    <t xml:space="preserve">70-5464 DHS       Flood Map Modernization Fund  </t>
  </si>
  <si>
    <t xml:space="preserve">70-8147 DHS       Aquatic Resources Trust Fund  </t>
  </si>
  <si>
    <t>Program Summary</t>
  </si>
  <si>
    <t>89-0304 DOE       Operation and maintenance, Ala</t>
  </si>
  <si>
    <t>89-0309 DOE       Defense nuclear nonproliferati</t>
  </si>
  <si>
    <t xml:space="preserve">89-0312 DOE       Cerro Grande Fire Activities  </t>
  </si>
  <si>
    <t xml:space="preserve">89-0313 DOE       Office of the Administrator   </t>
  </si>
  <si>
    <t xml:space="preserve">89-0314 DOE       Naval Reactors                </t>
  </si>
  <si>
    <t>89-0315 DOE       Non-defense environmental serv</t>
  </si>
  <si>
    <t>89-4045 DOE       Bonneville Power Administratio</t>
  </si>
  <si>
    <t>89-4180 DOE       Isotope production and distrib</t>
  </si>
  <si>
    <t>89-4452 DOE       Colorado river basins power ma</t>
  </si>
  <si>
    <t xml:space="preserve">89-4563 DOE       Working capital fund          </t>
  </si>
  <si>
    <t xml:space="preserve">89-5068 DOE       Construction, rehabilitation, </t>
  </si>
  <si>
    <t>89-5069 DOE       Emergency fund, Western Area P</t>
  </si>
  <si>
    <t>89-5105 DOE       Payments to States under Feder</t>
  </si>
  <si>
    <t>89-5178 DOE       Falcon and Amistad operating a</t>
  </si>
  <si>
    <t xml:space="preserve">89-5180 DOE       Alternative fuels production  </t>
  </si>
  <si>
    <t xml:space="preserve">89-5227 DOE       Nuclear waste disposal        </t>
  </si>
  <si>
    <t xml:space="preserve">12-8203 AG        Gifts and bequests            </t>
  </si>
  <si>
    <t>12-8210 AG        Miscellaneous contributed fund</t>
  </si>
  <si>
    <t>12-8214 AG        Miscellaneous contributed fund</t>
  </si>
  <si>
    <t>12-8232 AG        Miscellaneous contributed fund</t>
  </si>
  <si>
    <t xml:space="preserve">12-8412 AG        Milk market orders assessment </t>
  </si>
  <si>
    <t>73-4147 SBA       Pollution control equipment fu</t>
  </si>
  <si>
    <t>73-4148 SBA       Business direct loan financing</t>
  </si>
  <si>
    <t>73-4149 SBA       Business guaranteed loan finan</t>
  </si>
  <si>
    <t>73-4150 SBA       Disaster direct loan financing</t>
  </si>
  <si>
    <t xml:space="preserve">National Transportation Safety Board                            </t>
  </si>
  <si>
    <t xml:space="preserve">Neighborhood Reinvestment Corporation                           </t>
  </si>
  <si>
    <t xml:space="preserve">Nuclear Regulatory Commission                                   </t>
  </si>
  <si>
    <t>72-1000 IAP       Operating expenses of the Agen</t>
  </si>
  <si>
    <t>72-1005 IAP       International organizations an</t>
  </si>
  <si>
    <t xml:space="preserve">72-1007 IAP       Operating expenses, Office of </t>
  </si>
  <si>
    <t xml:space="preserve">72-1010 IAP       Assistance for Eastern Europe </t>
  </si>
  <si>
    <t xml:space="preserve">72-1014 IAP       Development fund for Africa   </t>
  </si>
  <si>
    <t>72-1021 IAP       Sustainable development assist</t>
  </si>
  <si>
    <t xml:space="preserve">72-1027 IAP       Transition Initiatives        </t>
  </si>
  <si>
    <t>72-1028 IAP       Global fund to fight HIV/AIDS,</t>
  </si>
  <si>
    <t xml:space="preserve">72-1029 IAP       Famine fund                   </t>
  </si>
  <si>
    <t xml:space="preserve">72-1030 IAP       Global AIDS initiative        </t>
  </si>
  <si>
    <t xml:space="preserve">72-1032 IAP       Peacekeeping operations       </t>
  </si>
  <si>
    <t>95-0206 BBG       International broadcasting ope</t>
  </si>
  <si>
    <t xml:space="preserve">95-0208 BBG       Broadcasting to Cuba          </t>
  </si>
  <si>
    <t xml:space="preserve">95-0300 COURTAPP  Salaries and expenses         </t>
  </si>
  <si>
    <t xml:space="preserve">95-0310 NTSB      Salaries and expenses         </t>
  </si>
  <si>
    <t xml:space="preserve">95-0311 NTSB      Emergency fund                </t>
  </si>
  <si>
    <t>95-0350 NVBDC     National Veterans Business Dev</t>
  </si>
  <si>
    <t>95-0401 ICM       Intelligence community managem</t>
  </si>
  <si>
    <t xml:space="preserve">95-0750 DRA       Delta regional authority      </t>
  </si>
  <si>
    <t>95-0900 UALLS     Federal payment to Morris K. U</t>
  </si>
  <si>
    <t xml:space="preserve">95-1100 OGE       Salaries and expenses         </t>
  </si>
  <si>
    <t xml:space="preserve">95-1147 BBG       Buying power maintenance      </t>
  </si>
  <si>
    <t xml:space="preserve">95-1200 DC        Denali Commission             </t>
  </si>
  <si>
    <t xml:space="preserve">95-1300 USIP      Operating expenses            </t>
  </si>
  <si>
    <t>95-1400 CFTC      Commodity Futures Trading Comm</t>
  </si>
  <si>
    <t xml:space="preserve">95-1600 FEC       Salaries and expenses         </t>
  </si>
  <si>
    <t>95-1650 EAC       Election assistance commission</t>
  </si>
  <si>
    <t>95-1712 DC        Federal payment to the Distric</t>
  </si>
  <si>
    <t>95-1734 CSOSA     Federal payment to Court Servi</t>
  </si>
  <si>
    <t>95-1735 DC        Payment to the District of Col</t>
  </si>
  <si>
    <t>13-5284 DOC       Limited access system administ</t>
  </si>
  <si>
    <t xml:space="preserve">13-5362 DOC       Environmental improvement and </t>
  </si>
  <si>
    <t xml:space="preserve">12-1115 AG        Wildland fire management      </t>
  </si>
  <si>
    <t>Output</t>
  </si>
  <si>
    <t>M</t>
  </si>
  <si>
    <t>19-0535 STATE     Embassy security, construction</t>
  </si>
  <si>
    <t>19-0538 STATE     Security and maintenance of Un</t>
  </si>
  <si>
    <t>19-0540 STATE     Payment to Foreign Service ret</t>
  </si>
  <si>
    <t xml:space="preserve">19-0545 STATE     Representation allowances     </t>
  </si>
  <si>
    <t>19-0601 STATE     Repatriation loans program acc</t>
  </si>
  <si>
    <t>19-1022 STATE     International narcotics contro</t>
  </si>
  <si>
    <t xml:space="preserve">19-1069 STATE     Salaries and expenses, IBWC   </t>
  </si>
  <si>
    <t xml:space="preserve">69-1750 DOT       Operations and training       </t>
  </si>
  <si>
    <t xml:space="preserve">69-1751 DOT       Ocean freight differential    </t>
  </si>
  <si>
    <t>Explanation if not Obligations and BA</t>
  </si>
  <si>
    <r>
      <t>2.  Weight only those questions with a YES or NO respon</t>
    </r>
    <r>
      <rPr>
        <sz val="10"/>
        <rFont val="Arial"/>
        <family val="2"/>
      </rPr>
      <t>se. Questions with a response of NA should be weighted zero</t>
    </r>
    <r>
      <rPr>
        <sz val="10"/>
        <rFont val="Arial"/>
        <family val="0"/>
      </rPr>
      <t xml:space="preserve">. </t>
    </r>
  </si>
  <si>
    <t xml:space="preserve">The program assists low income households, particularly those with the lowest incomes, that pay a high proportion of household income for home energy, primarily in meeting their immediate home energy needs. </t>
  </si>
  <si>
    <t>GPRA Performance Plan; LIHEAP Report to Congress for FY 2001; History of LIHEAP Contingency Fund Distributions; Sec 2602(e) of the LIHEAP statute; Block Grant Regs</t>
  </si>
  <si>
    <t>ACF's LIHEAP GPRA report for targeting index data.</t>
  </si>
  <si>
    <t xml:space="preserve">LIHEAP Committee on Managing for Results' workbook, “Integrating Government-Funded and Ratepayer-Funded Low-Income Fuel Assistance Programs” (May 2002); "An Introduction to Electric Utility Restructuring" (Eisenberg, Sept 1997)  </t>
  </si>
  <si>
    <t xml:space="preserve">National Aeronautics and Space Administration                   </t>
  </si>
  <si>
    <t xml:space="preserve">Office of Personnel Management                                  </t>
  </si>
  <si>
    <t xml:space="preserve">Small Business Administration                                   </t>
  </si>
  <si>
    <t xml:space="preserve">Department of Veterans Affairs                                  </t>
  </si>
  <si>
    <t xml:space="preserve">Executive Office of the President                               </t>
  </si>
  <si>
    <t xml:space="preserve">Federal Drug Control Programs                                   </t>
  </si>
  <si>
    <t>LIHEAP Home Energy Notebook for FY 2001.  LIHEAP Report to Congress for FY 2001.  ACF's GPRA report</t>
  </si>
  <si>
    <t>LIHEAP Home Energy Notebook for FY 2001</t>
  </si>
  <si>
    <t>LIHEAP statute:  Section 2607;  Regs:  CFR 96.81; Carryover and Reallotment Report; Quarterly Estimate Report, ACF-535; SF 269-A, Financial Status Report</t>
  </si>
  <si>
    <t>LIHEAP Report to Congress for FY 2001.  State electronic reporting templates for LIHEAP Household Report and LIHEAP Grantee Survey.  OCS MIS as part of OCS Restructuring Plan (to be published in the Federal Register)</t>
  </si>
  <si>
    <t>OCS restructuring plan (to be published in the Federal Register)</t>
  </si>
  <si>
    <t>Recipiency targeting index for elderly recipient households</t>
  </si>
  <si>
    <t xml:space="preserve">General Services Administration                                 </t>
  </si>
  <si>
    <t xml:space="preserve">Department of Homeland Security                                 </t>
  </si>
  <si>
    <t xml:space="preserve">Department of Housing and Urban Development                     </t>
  </si>
  <si>
    <t>12-4085 AG        Federal crop insurance corpora</t>
  </si>
  <si>
    <t xml:space="preserve">12-4140 AG        Agricultural credit insurance </t>
  </si>
  <si>
    <t>12-4141 AG        Rural housing insurance fund l</t>
  </si>
  <si>
    <t>69-4411 DOT       Railroad rehabilitation and im</t>
  </si>
  <si>
    <t>69-4420 DOT       Railroad rehabilitation and im</t>
  </si>
  <si>
    <t xml:space="preserve">69-4520 DOT       Working Capital Fund          </t>
  </si>
  <si>
    <t>69-4522 DOT       Working capital fund, Volpe Na</t>
  </si>
  <si>
    <t>69-4562 DOT       Administrative services franch</t>
  </si>
  <si>
    <t xml:space="preserve">69-5172 DOT       Pipeline safety               </t>
  </si>
  <si>
    <t xml:space="preserve">69-5282 DOT       Emergency preparedness grants </t>
  </si>
  <si>
    <t xml:space="preserve">69-5422 DOT       Aviation user fees            </t>
  </si>
  <si>
    <t>69-5423 DOT       Essential air service and rura</t>
  </si>
  <si>
    <t xml:space="preserve">69-5460 DOT       Ellsworth housing settlement  </t>
  </si>
  <si>
    <t xml:space="preserve">69-8003 DOT       Operations and maintenance    </t>
  </si>
  <si>
    <t>69-8016 DOT       Operations and research (Highw</t>
  </si>
  <si>
    <t xml:space="preserve">69-8019 DOT       Highway-related safety grants </t>
  </si>
  <si>
    <t xml:space="preserve">69-8020 DOT       Highway traffic safety grants </t>
  </si>
  <si>
    <t xml:space="preserve">69-8048 DOT       National motor carrier safety </t>
  </si>
  <si>
    <t xml:space="preserve">69-8055 DOT       Motor carrier safety          </t>
  </si>
  <si>
    <t>69-8072 DOT       Appalachian development highwa</t>
  </si>
  <si>
    <t xml:space="preserve">69-8083 DOT       Federal-aid highways          </t>
  </si>
  <si>
    <t xml:space="preserve">69-8091 DOT       Airline data and analysis     </t>
  </si>
  <si>
    <t>12-3315 AG        Agricultural conservation prog</t>
  </si>
  <si>
    <t>12-3316 AG        Emergency conservation program</t>
  </si>
  <si>
    <t xml:space="preserve">12-3318 AG        Colorado river basin salinity </t>
  </si>
  <si>
    <t xml:space="preserve">12-3319 AG        Conservation reserve program  </t>
  </si>
  <si>
    <r>
      <t xml:space="preserve">Section I:  Program Purpose &amp; Design  </t>
    </r>
    <r>
      <rPr>
        <b/>
        <sz val="12"/>
        <color indexed="10"/>
        <rFont val="Times New Roman"/>
        <family val="1"/>
      </rPr>
      <t xml:space="preserve"> (YES,NO, NA)</t>
    </r>
  </si>
  <si>
    <r>
      <t xml:space="preserve">Section II:  Strategic Planning   </t>
    </r>
    <r>
      <rPr>
        <b/>
        <sz val="12"/>
        <color indexed="10"/>
        <rFont val="Times New Roman"/>
        <family val="1"/>
      </rPr>
      <t>(YES,NO, NA)</t>
    </r>
  </si>
  <si>
    <r>
      <t xml:space="preserve">Section III:  Program Management  </t>
    </r>
    <r>
      <rPr>
        <b/>
        <sz val="12"/>
        <color indexed="10"/>
        <rFont val="Times New Roman"/>
        <family val="1"/>
      </rPr>
      <t>(YES,NO, NA)</t>
    </r>
  </si>
  <si>
    <r>
      <t xml:space="preserve">Section IV:  Program Results/Accountability  </t>
    </r>
    <r>
      <rPr>
        <b/>
        <sz val="12"/>
        <color indexed="17"/>
        <rFont val="Times New Roman"/>
        <family val="1"/>
      </rPr>
      <t xml:space="preserve"> </t>
    </r>
    <r>
      <rPr>
        <b/>
        <sz val="12"/>
        <color indexed="10"/>
        <rFont val="Times New Roman"/>
        <family val="1"/>
      </rPr>
      <t>(YES, LARGE EXTENT, SMALL EXTENT, NO, NA)</t>
    </r>
  </si>
  <si>
    <t>86-0205 HUD       Home investment partnership pr</t>
  </si>
  <si>
    <t>86-0206 HUD       Other assisted housing program</t>
  </si>
  <si>
    <t>86-0218 HUD       Revitalization of severely dis</t>
  </si>
  <si>
    <t xml:space="preserve">86-0219 HUD       Youthbuild program            </t>
  </si>
  <si>
    <t>86-0222 HUD       Capacity building for communit</t>
  </si>
  <si>
    <t xml:space="preserve">86-0223 HUD       Indian housing loan guarantee </t>
  </si>
  <si>
    <t>86-0230 HUD       Emergency food and shelter pro</t>
  </si>
  <si>
    <t xml:space="preserve">86-0232 HUD       Shelter Plus Care Renewals    </t>
  </si>
  <si>
    <t>86-0233 HUD       Native Hawaiian Housing Loan G</t>
  </si>
  <si>
    <t xml:space="preserve">86-0235 HUD       Native Hawaiian Housing Block </t>
  </si>
  <si>
    <t xml:space="preserve">86-0236 HUD       FHA-mutual mortgage insurance </t>
  </si>
  <si>
    <t>86-0237 HUD       Housing for persons with disab</t>
  </si>
  <si>
    <t xml:space="preserve">95-1736 DC        Defender services in District </t>
  </si>
  <si>
    <t>13-0551 DOC       Public telecommunications faci</t>
  </si>
  <si>
    <t>13-0552 DOC       Information infrastructure gra</t>
  </si>
  <si>
    <t>PY                             Budget Authority        (in millions)</t>
  </si>
  <si>
    <t>21-2085 DOD       Military construction, Army Na</t>
  </si>
  <si>
    <t>21-2086 DOD       Military construction, Army Re</t>
  </si>
  <si>
    <t>21-4275 DOD       Arms initiative guaranteed loa</t>
  </si>
  <si>
    <t>21-4528 DOD       Army conventional ammunition w</t>
  </si>
  <si>
    <t xml:space="preserve">21-9971 DOD       Other DOD trust funds         </t>
  </si>
  <si>
    <t>22-4055 RTC       Resolution Trust Corporation r</t>
  </si>
  <si>
    <t xml:space="preserve">24-0100 OPM       Salaries and expenses         </t>
  </si>
  <si>
    <t>24-0200 OPM       Payment to civil service retir</t>
  </si>
  <si>
    <t>24-0206 OPM       Government payment for annuita</t>
  </si>
  <si>
    <t xml:space="preserve">24-0400 OPM       Office of Inspector General   </t>
  </si>
  <si>
    <t>24-0500 OPM       Government payment for annuita</t>
  </si>
  <si>
    <t>24-0700 OPM       Human capital performance fund</t>
  </si>
  <si>
    <t>Annual</t>
  </si>
  <si>
    <t>Baseline data have been collected on the targeting of LIHEAP assistance to vulnerable households.  However, the program has recently established new targets for its annual performance measures. FY04 wil be the first year they will receive data that reveals the impact of new outreach efforts.  As a block grant, LIHEAP offers little basis to hold States accountable for performance results.</t>
  </si>
  <si>
    <t>The program collects detailed LIHEAP caseload and fiscal data from grantees and makes the data available through the the LIHEAP Report to Congress (the public can attain the executive summary on the website and request the full report).  The LIHEAP Clearinghouse Website provides detailed program characteristics and state plans, however performance data is not available due to limited resources.</t>
  </si>
  <si>
    <t>LIHEAP Report to Congress for FY 2001; LIHEAP Household Report; LIHEAP Grantee Survey; http://www.acf.dhhs.gov/programs/liheap/execsum.htm (Annual Report); http://www.ncat.org/liheap/ (Other data)</t>
  </si>
  <si>
    <t>Baseline data are available on targeting indexes for low income elderly and young children households. The target is to increase by 2 index points annually the rate for low income eligible elderly households receiving heating assitance by FY 2008.  Because these measures are relatively new and a trend has not yet been established, it cannot yet be determined if these measures are ambitious.</t>
  </si>
  <si>
    <t>NA</t>
  </si>
  <si>
    <t>There are no similar national programs that provide comprehensive energy assistance services.</t>
  </si>
  <si>
    <r>
      <t xml:space="preserve">Conf. Report accompanying S. 2000 (103-251); House Report accompanying H.R. 4250; </t>
    </r>
    <r>
      <rPr>
        <i/>
        <sz val="12"/>
        <color indexed="12"/>
        <rFont val="Times New Roman"/>
        <family val="1"/>
      </rPr>
      <t xml:space="preserve">LIHEAP Reconsidered </t>
    </r>
    <r>
      <rPr>
        <sz val="12"/>
        <color indexed="12"/>
        <rFont val="Times New Roman"/>
        <family val="1"/>
      </rPr>
      <t xml:space="preserve">by Mark J. Kaiser and Allan G. Pulsipher, Center for Energy Studies, Louisiana State University </t>
    </r>
  </si>
  <si>
    <t>OCS is undergoing a restructuring process to ensure that management resources are in place to meet the needs of the administration and grantees, however it has not yet been implemented.  Specific program effects on LIHEAP management deficiencies are not yet known.</t>
  </si>
  <si>
    <t>33-0102 SMITHSON  Museum programs and related re</t>
  </si>
  <si>
    <t xml:space="preserve">33-0103 SMITHSON  Facilities capital            </t>
  </si>
  <si>
    <t>33-0200 SMITHSON  Salaries and expenses, Nationa</t>
  </si>
  <si>
    <t>33-0201 SMITHSON  Repair, restoration, and renov</t>
  </si>
  <si>
    <t>33-0302 SMITHSON  Operations and maintenance, JF</t>
  </si>
  <si>
    <t>33-0303 SMITHSON  Construction, JFK Center for t</t>
  </si>
  <si>
    <t>33-0400 SMITHSON  Salaries and expenses, Woodrow</t>
  </si>
  <si>
    <t xml:space="preserve">National Council on Disability                                  </t>
  </si>
  <si>
    <t xml:space="preserve">National Credit Union Administration                            </t>
  </si>
  <si>
    <t xml:space="preserve">National Endowment for the Arts                                 </t>
  </si>
  <si>
    <t>14-1121 DOI       Central hazardous materials fu</t>
  </si>
  <si>
    <t xml:space="preserve">Federal Mediation and Conciliation Service                      </t>
  </si>
  <si>
    <t xml:space="preserve">Federal Mine Safety and Health Review Commission                </t>
  </si>
  <si>
    <t xml:space="preserve">Federal Retirement Thrift Investment Board                      </t>
  </si>
  <si>
    <t xml:space="preserve">Federal Trade Commission                                        </t>
  </si>
  <si>
    <t xml:space="preserve">Harry S. Truman Scholarship Foundation                          </t>
  </si>
  <si>
    <t xml:space="preserve">Institute of American Indian and Alaska Native Culture and Arts </t>
  </si>
  <si>
    <t xml:space="preserve">International Trade Commission                                  </t>
  </si>
  <si>
    <t xml:space="preserve">James Madison Memorial Fellowship Foundation                    </t>
  </si>
  <si>
    <t xml:space="preserve">31-0300 NRC       Office of Inspector General   </t>
  </si>
  <si>
    <t xml:space="preserve">33-0100 SMITHSON  Salaries and expenses         </t>
  </si>
  <si>
    <t xml:space="preserve">13-1006 DOC       Salaries and expenses         </t>
  </si>
  <si>
    <t xml:space="preserve">13-1100 DOC       Salaries and expenses         </t>
  </si>
  <si>
    <t xml:space="preserve">13-1250 DOC       Operations and administration </t>
  </si>
  <si>
    <t>13-1450 DOC       Operations, research, and faci</t>
  </si>
  <si>
    <t>13-1451 DOC       Pacific coastal salmon recover</t>
  </si>
  <si>
    <t>13-1456 DOC       Fisheries finance program acco</t>
  </si>
  <si>
    <t>13-1460 DOC       Procurement, acquisition and c</t>
  </si>
  <si>
    <t xml:space="preserve">13-1462 DOC       Coastal impact assistance     </t>
  </si>
  <si>
    <t xml:space="preserve">13-1500 DOC       Salaries and expenses         </t>
  </si>
  <si>
    <t>13-2050 DOC       Economic development assistanc</t>
  </si>
  <si>
    <t xml:space="preserve">13-4295 DOC       NTIS revolving fund           </t>
  </si>
  <si>
    <t xml:space="preserve">75-0511 HHS       Program management            </t>
  </si>
  <si>
    <t xml:space="preserve">75-0512 HHS       Grants to States for medicaid </t>
  </si>
  <si>
    <t>75-0515 HHS       State children's health insura</t>
  </si>
  <si>
    <t>75-0516 HHS       State grants and demonstration</t>
  </si>
  <si>
    <t xml:space="preserve">75-0580 HHS       Payments to health care trust </t>
  </si>
  <si>
    <t>75-0943 HHS       Disease control, research, and</t>
  </si>
  <si>
    <t>75-1362 HHS       Substance abuse and mental hea</t>
  </si>
  <si>
    <t>75-1501 HHS       Payments to States for child s</t>
  </si>
  <si>
    <t>75-1502 HHS       Low income home energy assista</t>
  </si>
  <si>
    <t>75-1503 HHS       Refugee and entrant assistance</t>
  </si>
  <si>
    <t>75-1509 HHS       Job opportunities and basic sk</t>
  </si>
  <si>
    <t>75-1512 HHS       Promoting safe and stable fami</t>
  </si>
  <si>
    <t>75-1515 HHS       Payments to States for the chi</t>
  </si>
  <si>
    <t xml:space="preserve">75-1522 HHS       Contingency fund              </t>
  </si>
  <si>
    <t xml:space="preserve">75-1534 HHS       Social services block grant   </t>
  </si>
  <si>
    <t>75-1536 HHS       Children and families services</t>
  </si>
  <si>
    <t xml:space="preserve">75-1545 HHS       Payments to States for foster </t>
  </si>
  <si>
    <t>75-1550 HHS       Child care entitlement to Stat</t>
  </si>
  <si>
    <t>75-1552 HHS       Temporary assistance for needy</t>
  </si>
  <si>
    <t>75-1553 HHS       Children's research and techni</t>
  </si>
  <si>
    <t>75-1700 HHS       Health care policy and researc</t>
  </si>
  <si>
    <t>75-4304 HHS       Health education assistance lo</t>
  </si>
  <si>
    <t>75-4305 HHS       Health education assistance lo</t>
  </si>
  <si>
    <t>75-4309 HHS       Revolving fund for certificati</t>
  </si>
  <si>
    <t>11-4116 IAP       Special defense acquisition fu</t>
  </si>
  <si>
    <t>11-4121 IAP       Foreign military loan liquidat</t>
  </si>
  <si>
    <t>11-4122 IAP       Foreign military financing dir</t>
  </si>
  <si>
    <t>11-4174 IAP       Military debt reduction financ</t>
  </si>
  <si>
    <t>11-8242 IAP       Foreign military sales trust f</t>
  </si>
  <si>
    <t>11-9972 IAP       Peace Corps miscellaneous trus</t>
  </si>
  <si>
    <t xml:space="preserve">12-0012 AG        Fund for rural America        </t>
  </si>
  <si>
    <t>12-0013 AG        Office of the Chief Informatio</t>
  </si>
  <si>
    <t xml:space="preserve">12-0014 AG        Office of the Chief Financial </t>
  </si>
  <si>
    <t xml:space="preserve">12-0113 AG        Common computing environment  </t>
  </si>
  <si>
    <t>12-0117 AG        Agriculture buildings and faci</t>
  </si>
  <si>
    <t xml:space="preserve">12-0120 AG        Departmental administration   </t>
  </si>
  <si>
    <t xml:space="preserve">12-0137 AG        Rental assistance program     </t>
  </si>
  <si>
    <t xml:space="preserve">12-0150 AG        Office of Communications      </t>
  </si>
  <si>
    <t xml:space="preserve">12-0170 AG        State mediation grants        </t>
  </si>
  <si>
    <t>12-0400 AG        Rural community advancement pr</t>
  </si>
  <si>
    <t>12-0402 AG        Rural empowerment zones and en</t>
  </si>
  <si>
    <t xml:space="preserve">12-0403 AG        Salaries and expenses         </t>
  </si>
  <si>
    <t>12-0500 AG        Hazardous materials management</t>
  </si>
  <si>
    <t xml:space="preserve">12-0502 AG        Extension activities          </t>
  </si>
  <si>
    <t xml:space="preserve">12-0600 AG        Salaries and expenses         </t>
  </si>
  <si>
    <t>12-0601 AG        Outreach for socially disadvan</t>
  </si>
  <si>
    <t xml:space="preserve">12-0705 AG        Executive operations          </t>
  </si>
  <si>
    <t>15-0202 DOJ       Telecommunications carrier com</t>
  </si>
  <si>
    <t xml:space="preserve">15-0203 DOJ       Construction                  </t>
  </si>
  <si>
    <t>15-0311 DOJ       Fees and expenses of witnesses</t>
  </si>
  <si>
    <t>15-0319 DOJ       Salaries and expenses, Antitru</t>
  </si>
  <si>
    <t xml:space="preserve">15-0322 DOJ       Salaries and expenses, United </t>
  </si>
  <si>
    <t>15-0323 DOJ       Interagency crime and drug enf</t>
  </si>
  <si>
    <t>BY Obligations (in millions)</t>
  </si>
  <si>
    <t>68-0103 EPA       State and tribal assistance gr</t>
  </si>
  <si>
    <t xml:space="preserve">68-0107 EPA       Science and technology        </t>
  </si>
  <si>
    <t>68-0108 EPA       Environmental programs and man</t>
  </si>
  <si>
    <t xml:space="preserve">68-0110 EPA       Buildings and facilities      </t>
  </si>
  <si>
    <t>68-0112 EPA       Office of the Inspector Genera</t>
  </si>
  <si>
    <t>68-0118 EPA       Abatement, control, and compli</t>
  </si>
  <si>
    <t>68-0250 EPA       Payment to the hazardous subst</t>
  </si>
  <si>
    <t>68-4310 EPA       Reregistration and expedited p</t>
  </si>
  <si>
    <t>68-4322 EPA       Abatement, control, and compli</t>
  </si>
  <si>
    <t xml:space="preserve">68-4565 EPA       Working capital fund          </t>
  </si>
  <si>
    <t xml:space="preserve">68-8221 EPA       Oil spill response            </t>
  </si>
  <si>
    <t xml:space="preserve">69-0102 DOT       Salaries and expenses         </t>
  </si>
  <si>
    <t xml:space="preserve">69-0104 DOT       Research and special programs </t>
  </si>
  <si>
    <t xml:space="preserve">69-0111 DOT       Compensation for air carriers </t>
  </si>
  <si>
    <t xml:space="preserve">69-0117 DOT       Rental payments               </t>
  </si>
  <si>
    <t xml:space="preserve">69-0118 DOT       Office of Civil Rights        </t>
  </si>
  <si>
    <t xml:space="preserve">69-0119 DOT       Minority business outreach    </t>
  </si>
  <si>
    <t>69-0123 DOT       Northeast corridor improvement</t>
  </si>
  <si>
    <t>69-0124 DOT       Emergency railroad rehabilitat</t>
  </si>
  <si>
    <t xml:space="preserve">15-5041 DOJ       Crime victims fund            </t>
  </si>
  <si>
    <t>69-4183 DOT       Alameda corridor direct loan f</t>
  </si>
  <si>
    <t>12-1066 AG        Watershed surveys and planning</t>
  </si>
  <si>
    <t>12-1072 AG        Watershed and flood prevention</t>
  </si>
  <si>
    <t xml:space="preserve">12-1080 AG        Wetlands reserve program      </t>
  </si>
  <si>
    <t>12-1103 AG        Capital improvement and mainte</t>
  </si>
  <si>
    <t xml:space="preserve">12-1104 AG        Forest and rangeland research </t>
  </si>
  <si>
    <t xml:space="preserve">12-1105 AG        State and private forestry    </t>
  </si>
  <si>
    <t xml:space="preserve">12-1106 AG        National forest system        </t>
  </si>
  <si>
    <t>12-1108 AG        Southeast Alaska economic disa</t>
  </si>
  <si>
    <t>60-8012 RRB       Supplemental annuity pension f</t>
  </si>
  <si>
    <t>60-8051 RRB       Railroad unemployment insuranc</t>
  </si>
  <si>
    <t>60-8118 RRB       National railroad retirement i</t>
  </si>
  <si>
    <t xml:space="preserve">61-0100 CPSC      Salaries and expenses         </t>
  </si>
  <si>
    <t xml:space="preserve">62-0100 OSC       Salaries and expenses         </t>
  </si>
  <si>
    <t xml:space="preserve">63-0100 NLRB      Salaries and expenses         </t>
  </si>
  <si>
    <t>64-4110 TVA       Tennessee Valley Authority fun</t>
  </si>
  <si>
    <t>Are grants awarded based on a clear competitive process that includes a qualified assessment of merit?</t>
  </si>
  <si>
    <t>Is the program managed on an ongoing basis to assure credit quality remains sound, collections and disbursements are timely, and reporting requirements are fulfilled?</t>
  </si>
  <si>
    <t>12-4208 AG        Rural electrification and tele</t>
  </si>
  <si>
    <t>12-4210 AG        Rural telephone bank direct lo</t>
  </si>
  <si>
    <t>12-4211 AG        Apple loans direct loan financ</t>
  </si>
  <si>
    <t xml:space="preserve">12-4212 AG        Agricultural credit insurance </t>
  </si>
  <si>
    <t>69-1125 DOT       Job access and reverse commute</t>
  </si>
  <si>
    <t>69-1127 DOT       Interstate transfer grants-tra</t>
  </si>
  <si>
    <t>69-1128 DOT       Washington Metropolitan Area T</t>
  </si>
  <si>
    <t xml:space="preserve">69-1129 DOT       Formula grants                </t>
  </si>
  <si>
    <t>14-5174 DOI       Utah reclamation mitigation an</t>
  </si>
  <si>
    <t>14-5233 DOI       Everglades restoration account</t>
  </si>
  <si>
    <t>14-5241 DOI       North American wetlands conser</t>
  </si>
  <si>
    <t xml:space="preserve">69-8191 DOT       Discretionary grants (Highway </t>
  </si>
  <si>
    <t xml:space="preserve">69-8274 DOT       Border enforcement program    </t>
  </si>
  <si>
    <t xml:space="preserve">69-8303 DOT       Formula Grants and Research   </t>
  </si>
  <si>
    <t>69-8304 DOT       Payments to air carriers (trus</t>
  </si>
  <si>
    <t xml:space="preserve">Legal Services Corporation                                      </t>
  </si>
  <si>
    <t xml:space="preserve">Marine Mammal Commission                                        </t>
  </si>
  <si>
    <t xml:space="preserve">Merit Systems Protection Board                                  </t>
  </si>
  <si>
    <t xml:space="preserve">National Archives and Records Administration                    </t>
  </si>
  <si>
    <t xml:space="preserve">Are the regulations designed to achieve program goals, to the extent practicable, by maximizing the net benefits of its regulatory activity? </t>
  </si>
  <si>
    <t>If applicable, does the program assess and compare the potential benefits of efforts within the program to other efforts that have similar goals?</t>
  </si>
  <si>
    <t>Does the program use a prioritization process to guide budget requests and funding decisions?</t>
  </si>
  <si>
    <t>2.RD2</t>
  </si>
  <si>
    <t>For R&amp;D programs other than competitive grants programs, does the program allocate funds and use management processes that maintain program quality?</t>
  </si>
  <si>
    <t>3.RD1</t>
  </si>
  <si>
    <t>17-0730 DOD       Family housing construction, N</t>
  </si>
  <si>
    <t>17-0735 DOD       Family housing operation and m</t>
  </si>
  <si>
    <t xml:space="preserve">91-0800 ED        Program administration        </t>
  </si>
  <si>
    <t>91-0900 ED        Education for the disadvantage</t>
  </si>
  <si>
    <t xml:space="preserve">91-1000 ED        School improvement programs   </t>
  </si>
  <si>
    <t>91-1100 ED        Institute of education science</t>
  </si>
  <si>
    <t xml:space="preserve">91-1300 ED        English language acquisition  </t>
  </si>
  <si>
    <t>91-1400 ED        Office of the Inspector Genera</t>
  </si>
  <si>
    <t xml:space="preserve">91-4251 ED        Federal family education loan </t>
  </si>
  <si>
    <t>91-4252 ED        College housing and academic f</t>
  </si>
  <si>
    <t>91-4253 ED        Federal direct student loan pr</t>
  </si>
  <si>
    <t>91-4255 ED        Historically black college and</t>
  </si>
  <si>
    <t>91-4257 ED        Federal student loan reserve f</t>
  </si>
  <si>
    <t>91-8261 ED        National security education tr</t>
  </si>
  <si>
    <t xml:space="preserve">91-9003 ED        Allowance for 2003            </t>
  </si>
  <si>
    <t xml:space="preserve">93-0100 FMCS      Salaries and expenses         </t>
  </si>
  <si>
    <t>94-0100 STATE     Arms control and disarmament a</t>
  </si>
  <si>
    <t>95-0103 CNCS      Domestic volunteer service pro</t>
  </si>
  <si>
    <t>95-0204 BBG       Broadcasting capital improveme</t>
  </si>
  <si>
    <t xml:space="preserve">57-3080 DOD       Other procurement, Air Force  </t>
  </si>
  <si>
    <t>57-3300 DOD       Military construction, Air For</t>
  </si>
  <si>
    <t>57-3400 DOD       Operation and maintenance, Air</t>
  </si>
  <si>
    <t xml:space="preserve">57-3500 DOD       Military personnel, Air Force </t>
  </si>
  <si>
    <t>57-3600 DOD       Research, development, test, a</t>
  </si>
  <si>
    <t xml:space="preserve">57-3700 DOD       Reserve personnel, Air Force  </t>
  </si>
  <si>
    <t>57-3730 DOD       Military construction, Air For</t>
  </si>
  <si>
    <t>57-3740 DOD       Operation and maintenance, Air</t>
  </si>
  <si>
    <t>57-3830 DOD       Military construction, Air Nat</t>
  </si>
  <si>
    <t>57-3840 DOD       Operation and maintenance, Air</t>
  </si>
  <si>
    <t xml:space="preserve">57-3850 DOD       National Guard personnel, Air </t>
  </si>
  <si>
    <t>59-0100 NEA       National Endowment for the Art</t>
  </si>
  <si>
    <t>59-0200 NEH       National Endowment for the Hum</t>
  </si>
  <si>
    <t>59-0300 IMLS      Office of Museum and Library S</t>
  </si>
  <si>
    <t xml:space="preserve">59-0400 NEA       Challenge America arts fund   </t>
  </si>
  <si>
    <t xml:space="preserve">60-0111 RRB       Federal windfall subsidy      </t>
  </si>
  <si>
    <t>60-0113 RRB       Federal payments to railroad r</t>
  </si>
  <si>
    <t>60-8010 RRB       Railroad social security equiv</t>
  </si>
  <si>
    <t xml:space="preserve">60-8011 RRB       Rail industry pension fund    </t>
  </si>
  <si>
    <t xml:space="preserve">13-8220 DOC       North pacific marine research </t>
  </si>
  <si>
    <t xml:space="preserve">13-8501 DOC       Gifts and bequests            </t>
  </si>
  <si>
    <t xml:space="preserve">14-0102 DOI       Salaries and expenses         </t>
  </si>
  <si>
    <t xml:space="preserve">14-0104 DOI       Salaries and expenses         </t>
  </si>
  <si>
    <t>14-0105 DOI       Special foreign currency progr</t>
  </si>
  <si>
    <t xml:space="preserve">14-0107 DOI       Salaries and expenses         </t>
  </si>
  <si>
    <t xml:space="preserve">14-0118 DOI       Salaries and expenses         </t>
  </si>
  <si>
    <t xml:space="preserve">14-0120 DOI       Office of the Special Trustee </t>
  </si>
  <si>
    <t xml:space="preserve">14-0121 DOI       Payments for trust accounting </t>
  </si>
  <si>
    <t>14-0124 DOI       Management of Federal lands fo</t>
  </si>
  <si>
    <t xml:space="preserve">14-0140 DOI       Everglades watershed protecti </t>
  </si>
  <si>
    <t xml:space="preserve">14-0412 DOI       Assistance to territories     </t>
  </si>
  <si>
    <t>14-0414 DOI       Trust Territory of the Pacific</t>
  </si>
  <si>
    <t xml:space="preserve">14-0415 DOI       Compact of free association   </t>
  </si>
  <si>
    <t xml:space="preserve">14-0418 DOI       Payments to the United States </t>
  </si>
  <si>
    <t>14-0667 DOI       Bureau of Reclamation loan liq</t>
  </si>
  <si>
    <t xml:space="preserve">14-0680 DOI       Water and related resources   </t>
  </si>
  <si>
    <t>14-0685 DOI       Bureau of Reclamation loan pro</t>
  </si>
  <si>
    <t>14-0687 DOI       California Bay-Delta restorati</t>
  </si>
  <si>
    <t>14-0787 DOI       Central Utah Project completio</t>
  </si>
  <si>
    <t>14-0804 DOI       Surveys, investigations, and r</t>
  </si>
  <si>
    <t xml:space="preserve">14-0959 DOI       Mines and minerals            </t>
  </si>
  <si>
    <t>14-1031 DOI       Urban park and recreation fund</t>
  </si>
  <si>
    <t>12-1010 AG        Resource conservation and deve</t>
  </si>
  <si>
    <t xml:space="preserve">97-4930 DOD       Working capital fund, Navy    </t>
  </si>
  <si>
    <t xml:space="preserve">97-4931 DOD       Buildings maintenance fund    </t>
  </si>
  <si>
    <t>Consumer Product Safety Commission</t>
  </si>
  <si>
    <t>Corporation for National and Community Service</t>
  </si>
  <si>
    <t>Department of Agriculture</t>
  </si>
  <si>
    <t>Department of Commerce</t>
  </si>
  <si>
    <t>Department of Defense</t>
  </si>
  <si>
    <t>Department of Education</t>
  </si>
  <si>
    <t>Department of Ednergy</t>
  </si>
  <si>
    <t>Department of Health and Human Services</t>
  </si>
  <si>
    <t>Department of Homeland Security</t>
  </si>
  <si>
    <t>Department of Housing and Urban Development</t>
  </si>
  <si>
    <t>Department of Justice</t>
  </si>
  <si>
    <t>Department of Labor</t>
  </si>
  <si>
    <t>Department of State</t>
  </si>
  <si>
    <t>Department of the Interior</t>
  </si>
  <si>
    <t>Department of the Treasury</t>
  </si>
  <si>
    <t>12-4231 AG        Rural telephone bank liquidati</t>
  </si>
  <si>
    <t>12-4233 AG        Rural development loan fund li</t>
  </si>
  <si>
    <t>12-4336 AG        Commodity Credit Corporation f</t>
  </si>
  <si>
    <t>12-4337 AG        Commodity Credit Corporation e</t>
  </si>
  <si>
    <t>12-4338 AG        Commodity Credit Corporation g</t>
  </si>
  <si>
    <t xml:space="preserve">12-4605 AG        Working capital fund          </t>
  </si>
  <si>
    <t xml:space="preserve">12-4609 AG        Working capital fund          </t>
  </si>
  <si>
    <t xml:space="preserve">Court Services and Offender Supervision Agency for the District </t>
  </si>
  <si>
    <t xml:space="preserve">National Endowment for the Humanities                           </t>
  </si>
  <si>
    <t xml:space="preserve">National Labor Relations Board                                  </t>
  </si>
  <si>
    <t xml:space="preserve">National Mediation Board                                        </t>
  </si>
  <si>
    <t xml:space="preserve">National Science Foundation                                     </t>
  </si>
  <si>
    <t xml:space="preserve">Trend data shows that the net effect of LIHEAP assistance has been to move low income household heating burdens closer to that of all households.  Findings suggest that households with low incomes and high energy costs are receiving help from LIHEAP.  </t>
  </si>
  <si>
    <t>12-4225 AG        Rural community facility direc</t>
  </si>
  <si>
    <t>12-4226 AG        Rural water and waste disposal</t>
  </si>
  <si>
    <t>12-4227 AG        Rural business and industry gu</t>
  </si>
  <si>
    <t>12-4228 AG        Rural community facility guara</t>
  </si>
  <si>
    <t>12-4230 AG        Rural electrification and tele</t>
  </si>
  <si>
    <t>Does the program systematically review its current regulations to ensure consistency among all regulations in accomplishing program goals?</t>
  </si>
  <si>
    <t xml:space="preserve">20-8212 DC        District of Columbia judicial </t>
  </si>
  <si>
    <t>69-8104 DOT       Trust fund share of FAA operat</t>
  </si>
  <si>
    <t>69-8106 DOT       Grants-in-aid for airports (Ai</t>
  </si>
  <si>
    <t>69-8107 DOT       Facilities and equipment (Airp</t>
  </si>
  <si>
    <t>69-8108 DOT       Research, engineering and deve</t>
  </si>
  <si>
    <t>69-8121 DOT       Trust fund share of pipeline s</t>
  </si>
  <si>
    <t xml:space="preserve">69-8158 DOT       Motor Carrier Safety Grants   </t>
  </si>
  <si>
    <t>20-8230 DC        District of Columbia Federal p</t>
  </si>
  <si>
    <t xml:space="preserve">20-8413 TREASURY  Assessment funds              </t>
  </si>
  <si>
    <t xml:space="preserve">69-9911 DOT       Miscellaneous appropriations  </t>
  </si>
  <si>
    <t xml:space="preserve">69-9971 DOT       Miscellaneous trust funds     </t>
  </si>
  <si>
    <t>69-9972 DOT       Miscellaneous highway trust fu</t>
  </si>
  <si>
    <t xml:space="preserve">70-0100 DHS       Departmental Operations       </t>
  </si>
  <si>
    <t xml:space="preserve">70-0101 DHS       Counterterrorism Fund         </t>
  </si>
  <si>
    <t>70-0102 DHS       Department-wide technology inv</t>
  </si>
  <si>
    <t xml:space="preserve">70-0200 DHS       Operating Expenses            </t>
  </si>
  <si>
    <t xml:space="preserve">70-0300 DHS       Operating Expenses            </t>
  </si>
  <si>
    <t xml:space="preserve">70-0400 DHS       Operating Expenses            </t>
  </si>
  <si>
    <t xml:space="preserve">70-0401 DHS       Capital Aquisitions           </t>
  </si>
  <si>
    <t xml:space="preserve">70-0503 DHS       Customs and border protection </t>
  </si>
  <si>
    <t>70-0504 DHS       Immigration and Customs Enforc</t>
  </si>
  <si>
    <t>70-0508 DHS       Transportation Security Admini</t>
  </si>
  <si>
    <t>70-0509 DHS       Federal law enforcement traini</t>
  </si>
  <si>
    <t>70-0510 DHS       Federal Law Enforcement traini</t>
  </si>
  <si>
    <t>70-0511 DHS       Office for Domestic Preparedne</t>
  </si>
  <si>
    <t xml:space="preserve">19-1078 STATE     Construction, IBWC            </t>
  </si>
  <si>
    <t>19-1082 STATE     American sections, internation</t>
  </si>
  <si>
    <t>19-1087 STATE     International fisheries commis</t>
  </si>
  <si>
    <t>19-1124 STATE     Contributions for internationa</t>
  </si>
  <si>
    <t xml:space="preserve">19-1125 STATE     International conferences and </t>
  </si>
  <si>
    <t>19-1126 STATE     Contributions to international</t>
  </si>
  <si>
    <t xml:space="preserve">19-1130 STATE     Arrearage payments            </t>
  </si>
  <si>
    <t>19-1143 STATE     Migration and refugee assistan</t>
  </si>
  <si>
    <t xml:space="preserve">19-1154 STATE     Andean counterdrug initiative </t>
  </si>
  <si>
    <t>19-4107 STATE     Repatriation loans financing a</t>
  </si>
  <si>
    <t xml:space="preserve">19-4519 STATE     Working capital fund          </t>
  </si>
  <si>
    <t xml:space="preserve">19-5116 STATE     Fishermen's protective fund   </t>
  </si>
  <si>
    <t>CY Obligations        (in millions)</t>
  </si>
  <si>
    <t>12-5070 AG        Perishable Agricultural Commod</t>
  </si>
  <si>
    <t xml:space="preserve">12-5207 AG        Range betterment fund         </t>
  </si>
  <si>
    <t>12-5209 AG        Funds for strengthening market</t>
  </si>
  <si>
    <t>12-8015 AG        Expenses and refunds, inspecti</t>
  </si>
  <si>
    <t>12-8137 AG        Expenses and refunds, inspecti</t>
  </si>
  <si>
    <t>Section III Score</t>
  </si>
  <si>
    <t>Section IV Score</t>
  </si>
  <si>
    <t>14-5248 DOI       Leases of lands acquired for f</t>
  </si>
  <si>
    <t>14-5252 DOI       Recreational fee demonstration</t>
  </si>
  <si>
    <t xml:space="preserve">14-5265 DOI       Tribal special fund           </t>
  </si>
  <si>
    <t xml:space="preserve">14-5425 DOI       Environmental improvement and </t>
  </si>
  <si>
    <t xml:space="preserve">14-5483 DOI       San Gabriel Basin restoration </t>
  </si>
  <si>
    <t>14-5488 DOI       Payment to Alaska, Arctic Nati</t>
  </si>
  <si>
    <t xml:space="preserve">14-5495 DOI       Stewardship grants            </t>
  </si>
  <si>
    <t xml:space="preserve">14-5496 DOI       Landowner incentive program   </t>
  </si>
  <si>
    <t>14-5656 DOI       Colorado River dam fund, Bould</t>
  </si>
  <si>
    <t xml:space="preserve">14-8030 DOI       Tribal trust fund             </t>
  </si>
  <si>
    <t xml:space="preserve">14-8070 DOI       Reclamation trust funds       </t>
  </si>
  <si>
    <t xml:space="preserve">14-8151 DOI       Sport fish restoration        </t>
  </si>
  <si>
    <t xml:space="preserve">14-8215 DOI       Construction (trust fund)     </t>
  </si>
  <si>
    <t xml:space="preserve">14-8216 DOI       Contributed funds             </t>
  </si>
  <si>
    <t xml:space="preserve">14-8370 DOI       Oil spill research            </t>
  </si>
  <si>
    <t xml:space="preserve">14-8562 DOI       Contributed funds             </t>
  </si>
  <si>
    <t xml:space="preserve">75-9911 HHS       Salaries and expenses         </t>
  </si>
  <si>
    <t>75-9912 HHS       General departmental managemen</t>
  </si>
  <si>
    <t xml:space="preserve">75-9913 HHS       Health activities funds       </t>
  </si>
  <si>
    <t xml:space="preserve">75-9915 HHS       National Institutes of Health </t>
  </si>
  <si>
    <t>75-9931 HHS       Medical facilities guarantee a</t>
  </si>
  <si>
    <t xml:space="preserve">75-9941 HHS       HHS service and supply fund   </t>
  </si>
  <si>
    <t xml:space="preserve">75-9971 HHS       Miscellaneous trust funds     </t>
  </si>
  <si>
    <t>76-8187 COLUMBUS  Christopher Columbus Fellowshi</t>
  </si>
  <si>
    <t>78-4131 FCA       Revolving fund for administrat</t>
  </si>
  <si>
    <t>78-4134 FCSFAC    Financial Assistance Corporati</t>
  </si>
  <si>
    <t>97-5472           Uniformed Services Retiree Hea</t>
  </si>
  <si>
    <t xml:space="preserve">97-8097           Military retirement fund      </t>
  </si>
  <si>
    <t xml:space="preserve">97-8098           Education benefits fund       </t>
  </si>
  <si>
    <t>97-8164 DOD       Surcharge collections, sales o</t>
  </si>
  <si>
    <t>97-8165 DOD       Foreign national employees sep</t>
  </si>
  <si>
    <t>95-1760 DC        Federal payment for family cou</t>
  </si>
  <si>
    <t xml:space="preserve">95-1900 CCR       Salaries and expenses         </t>
  </si>
  <si>
    <t xml:space="preserve">95-2000 CPPBSD    Salaries and expenses         </t>
  </si>
  <si>
    <t xml:space="preserve">95-2100 OSHRC     Salaries and expenses         </t>
  </si>
  <si>
    <t xml:space="preserve">95-2200 MMC       Salaries and expenses         </t>
  </si>
  <si>
    <t xml:space="preserve">95-2300 ACHPRESR  Salaries and expenses         </t>
  </si>
  <si>
    <t xml:space="preserve">95-2400 NMB       Salaries and expenses         </t>
  </si>
  <si>
    <t>14-1036 DOI       Operation of the national park</t>
  </si>
  <si>
    <t>14-1039 DOI       Construction and major mainten</t>
  </si>
  <si>
    <t>14-1042 DOI       National recreation and preser</t>
  </si>
  <si>
    <t xml:space="preserve">14-1049 DOI       United States park police     </t>
  </si>
  <si>
    <t>14-1109 DOI       Management of lands and resour</t>
  </si>
  <si>
    <t xml:space="preserve">14-1110 DOI       Construction                  </t>
  </si>
  <si>
    <t>14-1116 DOI       Oregon and California grant la</t>
  </si>
  <si>
    <t xml:space="preserve">Presidio Trust                                                  </t>
  </si>
  <si>
    <t xml:space="preserve">Denali Commission                                               </t>
  </si>
  <si>
    <t>Treasury Account(s)</t>
  </si>
  <si>
    <t xml:space="preserve">89-0218 DOE       Strategic petroleum reserve   </t>
  </si>
  <si>
    <t xml:space="preserve">91-0200 ED        Student financial assistance  </t>
  </si>
  <si>
    <t xml:space="preserve">91-0201 ED        Higher education              </t>
  </si>
  <si>
    <t xml:space="preserve">91-0202 ED        Student aid administration    </t>
  </si>
  <si>
    <t>91-0203 ED        Safe schools and citizenship e</t>
  </si>
  <si>
    <t xml:space="preserve">91-0204 ED        Innovation and improvement    </t>
  </si>
  <si>
    <t xml:space="preserve">91-0220 ED        Chicago litigation settlement </t>
  </si>
  <si>
    <t xml:space="preserve">91-0230 ED        Federal family education loan </t>
  </si>
  <si>
    <t xml:space="preserve">91-0231 ED        Federal family education loan </t>
  </si>
  <si>
    <t>91-0241 ED        College housing and academic f</t>
  </si>
  <si>
    <t>91-0242 ED        College housing and academic f</t>
  </si>
  <si>
    <r>
      <t>Target Year/Target/Actual :</t>
    </r>
    <r>
      <rPr>
        <sz val="10"/>
        <rFont val="Arial"/>
        <family val="2"/>
      </rPr>
      <t xml:space="preserve">Allows the Examiner to enter up to 5 years of data (one in each row). Years should be entered in adjacent rows, in ascending order.                                                                             </t>
    </r>
    <r>
      <rPr>
        <b/>
        <sz val="10"/>
        <rFont val="Arial"/>
        <family val="2"/>
      </rPr>
      <t>Print in Budget Volume?:</t>
    </r>
    <r>
      <rPr>
        <sz val="10"/>
        <rFont val="Arial"/>
        <family val="2"/>
      </rPr>
      <t xml:space="preserve"> Allows the Examiner to choose which measures/years to include in a PART summary for the budget. Leave blank for any measures or years that should not be printed in the budget.                                                                                                                            </t>
    </r>
  </si>
  <si>
    <t>99-9033 ALLOWANC  Repeal of anti-dumping provisi</t>
  </si>
  <si>
    <t>99-9034 ALLOWANC  Adjustment to certain pass-thr</t>
  </si>
  <si>
    <t xml:space="preserve">16-0170 DOL       Workers compensation programs </t>
  </si>
  <si>
    <t xml:space="preserve">16-0172 DOL       Program administration        </t>
  </si>
  <si>
    <t>16-0174 DOL       Training and employment servic</t>
  </si>
  <si>
    <t>16-0175 DOL       Community service employment f</t>
  </si>
  <si>
    <t>97-9981 DOD       Other DOD trust revolving fund</t>
  </si>
  <si>
    <t>99-4450           Board of Governors of the Fede</t>
  </si>
  <si>
    <t>99-9022 ALLOWANC  Corrections to meet FY03 polic</t>
  </si>
  <si>
    <t xml:space="preserve">99-9032 ALLOWANC  Spectrum relocation fund      </t>
  </si>
  <si>
    <t>20-1877 TREASURY  Federal interest liabilities t</t>
  </si>
  <si>
    <t>20-1880 TREASURY  Interest paid to credit financ</t>
  </si>
  <si>
    <t>20-1881 TREASURY  Community development financia</t>
  </si>
  <si>
    <t>20-1884 TREASURY  Federal Reserve Bank reimburse</t>
  </si>
  <si>
    <t xml:space="preserve">20-1895 TREASURY  Claims, judgments, and relief </t>
  </si>
  <si>
    <t>20-4088 TREASURY  Community development financia</t>
  </si>
  <si>
    <t xml:space="preserve">20-4108 TREASURY  Office of Thrift Supervision  </t>
  </si>
  <si>
    <t xml:space="preserve">20-4109 TREASURY  Check forgery insurance fund  </t>
  </si>
  <si>
    <t>20-4159 TREASURY  United States Mint public ente</t>
  </si>
  <si>
    <t>20-4286 TREASURY  Air transportation stabilizati</t>
  </si>
  <si>
    <t>20-4413 TREASURY  Federal tax lien revolving fun</t>
  </si>
  <si>
    <t xml:space="preserve">20-4444 TREASURY  Exchange stabilization fund   </t>
  </si>
  <si>
    <t xml:space="preserve">20-4446 DC        Federal payment for water and </t>
  </si>
  <si>
    <t xml:space="preserve">20-4501 TREASURY  Working capital fund          </t>
  </si>
  <si>
    <t>20-4502 TREASURY  Bureau of Engraving and Printi</t>
  </si>
  <si>
    <t xml:space="preserve">20-4521 TREASURY  Federal Financing Bank        </t>
  </si>
  <si>
    <t xml:space="preserve">20-4560 TREASURY  Treasury franchise fund       </t>
  </si>
  <si>
    <t>OCS Restructuring Plan (to be published in the Federal Register)</t>
  </si>
  <si>
    <t>LIHEAP Weatherization Information Memorandum; LIHEAP Leveraging Incentive Information Memorandum; Section 2605(b)(4) of the LIHEAP statute; Charter of LIHEAP Managing for Results Committee.</t>
  </si>
  <si>
    <t xml:space="preserve">89-0219 DOE       Naval petroleum and oil shale </t>
  </si>
  <si>
    <t xml:space="preserve">89-0222 DOE       Science                       </t>
  </si>
  <si>
    <t xml:space="preserve">89-0224 DOE       Energy supply                 </t>
  </si>
  <si>
    <t xml:space="preserve">89-0228 DOE       Departmental administration   </t>
  </si>
  <si>
    <t xml:space="preserve">89-0233 DOE       SPR petroleum account         </t>
  </si>
  <si>
    <t>69-0142 DOT       Transportation planning, resea</t>
  </si>
  <si>
    <t xml:space="preserve">69-0147 DOT       New headquarters building     </t>
  </si>
  <si>
    <t xml:space="preserve">69-0152 DOT       AMTRAK reform council         </t>
  </si>
  <si>
    <t>69-0155 DOT       Minority business resource cen</t>
  </si>
  <si>
    <t xml:space="preserve">69-0301 DOT       Salaries and expenses         </t>
  </si>
  <si>
    <t>69-0543 DOT       Orange County (CA) toll road d</t>
  </si>
  <si>
    <t xml:space="preserve">69-0549 DOT       State infrastructure banks    </t>
  </si>
  <si>
    <t>69-0640 DOT       Appalachian development highwa</t>
  </si>
  <si>
    <t xml:space="preserve">69-0650 DOT       Operations and research       </t>
  </si>
  <si>
    <t xml:space="preserve">69-0700 DOT       Safety and operations         </t>
  </si>
  <si>
    <t>69-0704 DOT       Capital grants to National Rai</t>
  </si>
  <si>
    <t xml:space="preserve">69-0714 DOT       Local rail freight assistance </t>
  </si>
  <si>
    <t>69-0720 DOT       Amtrak corridor improvement lo</t>
  </si>
  <si>
    <t>69-0722 DOT       Next generation high-speed rai</t>
  </si>
  <si>
    <t>69-0723 DOT       Pennsylvania station redevelop</t>
  </si>
  <si>
    <t xml:space="preserve">69-0726 DOT       Rhode Island rail development </t>
  </si>
  <si>
    <t>69-0730 DOT       Alaska railroad rehabilitation</t>
  </si>
  <si>
    <t>69-0745 DOT       Railroad research and developm</t>
  </si>
  <si>
    <t>Do the program’s credit models adequately provide reliable, consistent, accurate and transparent estimates of costs and the risk to the Government?</t>
  </si>
  <si>
    <t xml:space="preserve">Are all regulations issued by the program/agency necessary to meet the stated goals of the program, and do all regulations clearly indicate how the rules contribute to achievement of the goals?  </t>
  </si>
  <si>
    <t>Did the program seek and take into account the views of all affected parties (e.g., consumers; large and small businesses; State, local and tribal governments; beneficiaries; and the general public) when developing significant regulations?</t>
  </si>
  <si>
    <t xml:space="preserve">Did the program prepare adequate regulatory impact analyses if required by Executive Order 12866, regulatory flexibility analyses if required by the Regulatory Flexibility Act and SBREFA, and cost-benefit analyses if required under the Unfunded Mandates Reform Act; and did those analyses comply with OMB guidelines? </t>
  </si>
  <si>
    <t xml:space="preserve">20-5407 TREASURY  Sallie Mae assessments        </t>
  </si>
  <si>
    <t xml:space="preserve">80-0107 NASA      Construction of facilities    </t>
  </si>
  <si>
    <t xml:space="preserve">80-0109 NASA      Office of Inspector General   </t>
  </si>
  <si>
    <t>80-0110 NASA      Science, Aeronautics and Techn</t>
  </si>
  <si>
    <t>SMALL EXTENT</t>
  </si>
  <si>
    <t xml:space="preserve">75-0350 HHS       Health resources and services </t>
  </si>
  <si>
    <t>75-0379 HHS       Retirement pay and medical ben</t>
  </si>
  <si>
    <t xml:space="preserve">75-0390 HHS       Indian Health Services        </t>
  </si>
  <si>
    <t xml:space="preserve">75-0391 HHS       Indian health facilities      </t>
  </si>
  <si>
    <t>83-4028 EXIMBANK  Debt reduction financing accou</t>
  </si>
  <si>
    <t>83-4161 EXIMBANK  Export-Import Bank direct loan</t>
  </si>
  <si>
    <t xml:space="preserve">83-4162 EXIMBANK  Export-Import Bank guaranteed </t>
  </si>
  <si>
    <t xml:space="preserve">84-8522           Armed Forces Retirement Home  </t>
  </si>
  <si>
    <t xml:space="preserve">86-0108 HUD       Research and technology       </t>
  </si>
  <si>
    <t>88-0301 ARCHIVES  National Historical Publicatio</t>
  </si>
  <si>
    <t xml:space="preserve">88-0302 ARCHIVES  Repairs and restoration       </t>
  </si>
  <si>
    <t xml:space="preserve">88-4578 ARCHIVES  Records center revolving fund </t>
  </si>
  <si>
    <t xml:space="preserve">88-8127 ARCHIVES  National archives gift fund   </t>
  </si>
  <si>
    <t xml:space="preserve">88-8436 ARCHIVES  National archives trust fund  </t>
  </si>
  <si>
    <t>89-0206 DOE       Geothermal resources developme</t>
  </si>
  <si>
    <t>89-0212 DOE       Federal Energy Regulatory Comm</t>
  </si>
  <si>
    <t>89-0213 DOE       Fossil energy research and dev</t>
  </si>
  <si>
    <t xml:space="preserve">95-5365 VEF       Vietnam debt repayment fund   </t>
  </si>
  <si>
    <t>95-5376 PCAOB     Public Company Accounting Over</t>
  </si>
  <si>
    <t xml:space="preserve">95-5377 SSB       Standard setting body         </t>
  </si>
  <si>
    <t>95-5415 UALLS     Environmental dispute resoluti</t>
  </si>
  <si>
    <t xml:space="preserve">95-5484           White House commission on the </t>
  </si>
  <si>
    <t>95-8025 JAPANUS   Japan-United States Friendship</t>
  </si>
  <si>
    <t xml:space="preserve">95-8056 DC        Denali Commission trust fund  </t>
  </si>
  <si>
    <t>95-8260 UMWA      United Mine Workers of America</t>
  </si>
  <si>
    <t>95-8276 STATE     Israeli Arab and Eisenhower ex</t>
  </si>
  <si>
    <t>95-8281 GOLDWATR  Barry Goldwater Scholarship an</t>
  </si>
  <si>
    <t>95-8282 JMADISON  James Madison Memorial Fellows</t>
  </si>
  <si>
    <t>95-8285 BBG       Foreign Service national separ</t>
  </si>
  <si>
    <t>Program Purpose &amp; Design</t>
  </si>
  <si>
    <t>Section I, II, III &amp; IV</t>
  </si>
  <si>
    <t>Evidence/Data</t>
  </si>
  <si>
    <t>OMB Program Assessment Rating Tool (PART)</t>
  </si>
  <si>
    <t>Type of Program:</t>
  </si>
  <si>
    <t>Q</t>
  </si>
  <si>
    <t>ROWTYPE</t>
  </si>
  <si>
    <t>Question Number</t>
  </si>
  <si>
    <t>T</t>
  </si>
  <si>
    <t>X</t>
  </si>
  <si>
    <t>Does the program have oversight practices that provide sufficient knowledge of grantee activities?</t>
  </si>
  <si>
    <t>Does the program collect grantee performance data on an annual basis and make it available to the public in a transparent and meaningful manner?</t>
  </si>
  <si>
    <t>Target</t>
  </si>
  <si>
    <t>Measure #</t>
  </si>
  <si>
    <t xml:space="preserve">Agency: </t>
  </si>
  <si>
    <t xml:space="preserve">Bureau: </t>
  </si>
  <si>
    <t>PART Performance Measures</t>
  </si>
  <si>
    <t>H</t>
  </si>
  <si>
    <t>Measure Type</t>
  </si>
  <si>
    <t xml:space="preserve">Measure </t>
  </si>
  <si>
    <t>Target Year</t>
  </si>
  <si>
    <t xml:space="preserve">Actual </t>
  </si>
  <si>
    <t xml:space="preserve">Does the agency regularly collect timely and credible performance information, including information from key program partners, and use it to manage the program and improve performance? </t>
  </si>
  <si>
    <t xml:space="preserve">Are Federal managers and program partners (including grantees, sub-grantees, contractors, cost-sharing partners, and other government partners) held accountable for cost, schedule and performance results?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</si>
</sst>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
    <numFmt numFmtId="167" formatCode="&quot;Yes&quot;;&quot;Yes&quot;;&quot;No&quot;"/>
    <numFmt numFmtId="168" formatCode="&quot;True&quot;;&quot;True&quot;;&quot;False&quot;"/>
    <numFmt numFmtId="169" formatCode="&quot;On&quot;;&quot;On&quot;;&quot;Off&quot;"/>
    <numFmt numFmtId="170" formatCode="[$€-2]\ #,##0.00_);[Red]\([$€-2]\ #,##0.00\)"/>
    <numFmt numFmtId="171" formatCode="\ 0;\-0;;@\ "/>
  </numFmts>
  <fonts count="42">
    <font>
      <sz val="10"/>
      <name val="Arial"/>
      <family val="0"/>
    </font>
    <font>
      <b/>
      <sz val="12"/>
      <name val="Arial"/>
      <family val="2"/>
    </font>
    <font>
      <sz val="12"/>
      <name val="Arial"/>
      <family val="2"/>
    </font>
    <font>
      <sz val="12"/>
      <color indexed="12"/>
      <name val="Arial"/>
      <family val="2"/>
    </font>
    <font>
      <b/>
      <sz val="11"/>
      <name val="Arial"/>
      <family val="2"/>
    </font>
    <font>
      <sz val="11"/>
      <name val="Arial"/>
      <family val="2"/>
    </font>
    <font>
      <sz val="9"/>
      <name val="Arial"/>
      <family val="2"/>
    </font>
    <font>
      <i/>
      <sz val="9"/>
      <name val="Arial"/>
      <family val="2"/>
    </font>
    <font>
      <sz val="9"/>
      <color indexed="12"/>
      <name val="Arial"/>
      <family val="2"/>
    </font>
    <font>
      <sz val="10"/>
      <color indexed="12"/>
      <name val="Arial"/>
      <family val="2"/>
    </font>
    <font>
      <b/>
      <sz val="10"/>
      <name val="Arial"/>
      <family val="2"/>
    </font>
    <font>
      <b/>
      <sz val="10"/>
      <color indexed="10"/>
      <name val="Arial"/>
      <family val="2"/>
    </font>
    <font>
      <i/>
      <sz val="10"/>
      <name val="Arial"/>
      <family val="2"/>
    </font>
    <font>
      <b/>
      <i/>
      <sz val="10"/>
      <name val="Arial"/>
      <family val="2"/>
    </font>
    <font>
      <u val="single"/>
      <sz val="10"/>
      <color indexed="12"/>
      <name val="Arial"/>
      <family val="0"/>
    </font>
    <font>
      <u val="single"/>
      <sz val="10"/>
      <color indexed="36"/>
      <name val="Arial"/>
      <family val="0"/>
    </font>
    <font>
      <sz val="8"/>
      <name val="Tahoma"/>
      <family val="0"/>
    </font>
    <font>
      <b/>
      <sz val="9"/>
      <name val="Tahoma"/>
      <family val="2"/>
    </font>
    <font>
      <sz val="9"/>
      <name val="Tahoma"/>
      <family val="2"/>
    </font>
    <font>
      <b/>
      <sz val="10"/>
      <name val="Tahoma"/>
      <family val="2"/>
    </font>
    <font>
      <sz val="10"/>
      <name val="Tahoma"/>
      <family val="2"/>
    </font>
    <font>
      <b/>
      <sz val="8"/>
      <name val="Tahoma"/>
      <family val="0"/>
    </font>
    <font>
      <sz val="10"/>
      <color indexed="10"/>
      <name val="Arial"/>
      <family val="2"/>
    </font>
    <font>
      <sz val="10"/>
      <color indexed="8"/>
      <name val="Courier New"/>
      <family val="0"/>
    </font>
    <font>
      <b/>
      <sz val="9"/>
      <name val="Arial"/>
      <family val="2"/>
    </font>
    <font>
      <b/>
      <sz val="10"/>
      <color indexed="12"/>
      <name val="Arial"/>
      <family val="2"/>
    </font>
    <font>
      <b/>
      <u val="single"/>
      <sz val="12"/>
      <name val="Arial"/>
      <family val="2"/>
    </font>
    <font>
      <b/>
      <u val="single"/>
      <sz val="14"/>
      <name val="Arial"/>
      <family val="2"/>
    </font>
    <font>
      <i/>
      <sz val="9"/>
      <name val="Tahoma"/>
      <family val="2"/>
    </font>
    <font>
      <b/>
      <sz val="12"/>
      <name val="Times New Roman"/>
      <family val="1"/>
    </font>
    <font>
      <sz val="12"/>
      <name val="Times New Roman"/>
      <family val="1"/>
    </font>
    <font>
      <b/>
      <sz val="12"/>
      <color indexed="12"/>
      <name val="Times New Roman"/>
      <family val="1"/>
    </font>
    <font>
      <b/>
      <sz val="12"/>
      <color indexed="10"/>
      <name val="Times New Roman"/>
      <family val="1"/>
    </font>
    <font>
      <b/>
      <sz val="12"/>
      <color indexed="9"/>
      <name val="Times New Roman"/>
      <family val="1"/>
    </font>
    <font>
      <sz val="12"/>
      <color indexed="9"/>
      <name val="Times New Roman"/>
      <family val="1"/>
    </font>
    <font>
      <i/>
      <sz val="12"/>
      <name val="Times New Roman"/>
      <family val="1"/>
    </font>
    <font>
      <sz val="12"/>
      <color indexed="12"/>
      <name val="Times New Roman"/>
      <family val="1"/>
    </font>
    <font>
      <b/>
      <i/>
      <sz val="12"/>
      <name val="Times New Roman"/>
      <family val="1"/>
    </font>
    <font>
      <b/>
      <sz val="12"/>
      <color indexed="17"/>
      <name val="Times New Roman"/>
      <family val="1"/>
    </font>
    <font>
      <sz val="8"/>
      <name val="Arial"/>
      <family val="0"/>
    </font>
    <font>
      <i/>
      <sz val="12"/>
      <color indexed="12"/>
      <name val="Times New Roman"/>
      <family val="1"/>
    </font>
    <font>
      <b/>
      <sz val="8"/>
      <name val="Arial"/>
      <family val="2"/>
    </font>
  </fonts>
  <fills count="7">
    <fill>
      <patternFill/>
    </fill>
    <fill>
      <patternFill patternType="gray125"/>
    </fill>
    <fill>
      <patternFill patternType="solid">
        <fgColor indexed="9"/>
        <bgColor indexed="64"/>
      </patternFill>
    </fill>
    <fill>
      <patternFill patternType="solid">
        <fgColor indexed="24"/>
        <bgColor indexed="64"/>
      </patternFill>
    </fill>
    <fill>
      <patternFill patternType="solid">
        <fgColor indexed="24"/>
        <bgColor indexed="64"/>
      </patternFill>
    </fill>
    <fill>
      <patternFill patternType="solid">
        <fgColor indexed="31"/>
        <bgColor indexed="64"/>
      </patternFill>
    </fill>
    <fill>
      <patternFill patternType="solid">
        <fgColor indexed="43"/>
        <bgColor indexed="64"/>
      </patternFill>
    </fill>
  </fills>
  <borders count="14">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color indexed="12"/>
      </left>
      <right style="medium">
        <color indexed="12"/>
      </right>
      <top style="medium">
        <color indexed="12"/>
      </top>
      <bottom style="medium">
        <color indexed="12"/>
      </bottom>
    </border>
    <border>
      <left style="thin">
        <color indexed="22"/>
      </left>
      <right style="thin">
        <color indexed="22"/>
      </right>
      <top style="thin">
        <color indexed="22"/>
      </top>
      <bottom style="thin">
        <color indexed="22"/>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278">
    <xf numFmtId="0" fontId="0" fillId="0" borderId="0" xfId="0" applyAlignment="1">
      <alignment/>
    </xf>
    <xf numFmtId="37" fontId="1" fillId="0" borderId="0" xfId="0" applyNumberFormat="1" applyFont="1" applyFill="1" applyBorder="1" applyAlignment="1" applyProtection="1">
      <alignment/>
      <protection/>
    </xf>
    <xf numFmtId="9" fontId="2" fillId="0" borderId="0" xfId="0" applyNumberFormat="1" applyFont="1" applyFill="1" applyBorder="1" applyAlignment="1" applyProtection="1">
      <alignment horizontal="center"/>
      <protection/>
    </xf>
    <xf numFmtId="9" fontId="3" fillId="0" borderId="0" xfId="21" applyFont="1" applyFill="1" applyBorder="1" applyAlignment="1" applyProtection="1">
      <alignment horizontal="center"/>
      <protection/>
    </xf>
    <xf numFmtId="9" fontId="2" fillId="0" borderId="0" xfId="21" applyFont="1" applyFill="1" applyBorder="1" applyAlignment="1" applyProtection="1">
      <alignment horizontal="center"/>
      <protection/>
    </xf>
    <xf numFmtId="0" fontId="7" fillId="0" borderId="0" xfId="0" applyFont="1" applyAlignment="1">
      <alignment horizontal="left" vertical="top" wrapText="1"/>
    </xf>
    <xf numFmtId="0" fontId="5" fillId="0" borderId="0" xfId="0" applyFont="1" applyAlignment="1">
      <alignment wrapText="1"/>
    </xf>
    <xf numFmtId="0" fontId="1" fillId="2" borderId="0" xfId="0" applyFont="1" applyFill="1" applyAlignment="1">
      <alignment/>
    </xf>
    <xf numFmtId="0" fontId="0" fillId="2" borderId="0" xfId="0" applyFill="1" applyAlignment="1">
      <alignment/>
    </xf>
    <xf numFmtId="0" fontId="10" fillId="2" borderId="0" xfId="0" applyFont="1" applyFill="1" applyAlignment="1">
      <alignment/>
    </xf>
    <xf numFmtId="0" fontId="11" fillId="2" borderId="0" xfId="0" applyFont="1" applyFill="1" applyAlignment="1">
      <alignment/>
    </xf>
    <xf numFmtId="0" fontId="0" fillId="2" borderId="0" xfId="0" applyFont="1" applyFill="1" applyAlignment="1">
      <alignment horizontal="left" wrapText="1"/>
    </xf>
    <xf numFmtId="0" fontId="13" fillId="2" borderId="0" xfId="0" applyFont="1" applyFill="1" applyAlignment="1">
      <alignment/>
    </xf>
    <xf numFmtId="9" fontId="9" fillId="0" borderId="0" xfId="21" applyNumberFormat="1" applyFont="1" applyAlignment="1" applyProtection="1">
      <alignment horizontal="center" vertical="top"/>
      <protection locked="0"/>
    </xf>
    <xf numFmtId="0" fontId="13" fillId="2" borderId="0" xfId="0" applyFont="1" applyFill="1" applyAlignment="1">
      <alignment vertical="top"/>
    </xf>
    <xf numFmtId="0" fontId="0" fillId="2" borderId="0" xfId="0" applyFont="1" applyFill="1" applyAlignment="1">
      <alignment horizontal="left" vertical="top" wrapText="1"/>
    </xf>
    <xf numFmtId="0" fontId="0" fillId="2" borderId="0" xfId="0" applyFont="1" applyFill="1" applyAlignment="1">
      <alignment vertical="top"/>
    </xf>
    <xf numFmtId="0" fontId="0" fillId="0" borderId="0" xfId="0" applyAlignment="1">
      <alignment/>
    </xf>
    <xf numFmtId="0" fontId="0" fillId="0" borderId="0" xfId="0" applyAlignment="1">
      <alignment vertical="top"/>
    </xf>
    <xf numFmtId="0" fontId="2" fillId="0" borderId="0" xfId="0" applyFont="1" applyAlignment="1">
      <alignment wrapText="1"/>
    </xf>
    <xf numFmtId="0" fontId="1" fillId="0" borderId="0" xfId="0" applyFont="1" applyAlignment="1">
      <alignment/>
    </xf>
    <xf numFmtId="0" fontId="1" fillId="0" borderId="0" xfId="0" applyFont="1" applyAlignment="1" applyProtection="1">
      <alignment/>
      <protection locked="0"/>
    </xf>
    <xf numFmtId="0" fontId="10" fillId="0" borderId="0" xfId="0" applyFont="1" applyAlignment="1">
      <alignment/>
    </xf>
    <xf numFmtId="0" fontId="8" fillId="0" borderId="0" xfId="0" applyNumberFormat="1" applyFont="1" applyAlignment="1" applyProtection="1">
      <alignment horizontal="left" vertical="top" wrapText="1"/>
      <protection locked="0"/>
    </xf>
    <xf numFmtId="37" fontId="8" fillId="0" borderId="0" xfId="0" applyNumberFormat="1" applyFont="1" applyFill="1" applyBorder="1" applyAlignment="1" applyProtection="1">
      <alignment horizontal="center" wrapText="1"/>
      <protection/>
    </xf>
    <xf numFmtId="0" fontId="6" fillId="0" borderId="0" xfId="0" applyFont="1" applyAlignment="1">
      <alignment wrapText="1"/>
    </xf>
    <xf numFmtId="166" fontId="6" fillId="0" borderId="0" xfId="0" applyNumberFormat="1" applyFont="1" applyAlignment="1">
      <alignment wrapText="1"/>
    </xf>
    <xf numFmtId="166" fontId="6" fillId="0" borderId="0" xfId="0" applyNumberFormat="1" applyFont="1" applyAlignment="1">
      <alignment horizontal="left" wrapText="1"/>
    </xf>
    <xf numFmtId="0" fontId="6" fillId="0" borderId="0" xfId="0" applyFont="1" applyFill="1" applyAlignment="1">
      <alignment wrapText="1"/>
    </xf>
    <xf numFmtId="166" fontId="6" fillId="0" borderId="0" xfId="0" applyNumberFormat="1" applyFont="1" applyFill="1" applyAlignment="1">
      <alignment wrapText="1"/>
    </xf>
    <xf numFmtId="0" fontId="6" fillId="0" borderId="0" xfId="0" applyFont="1" applyFill="1" applyAlignment="1">
      <alignment horizontal="center" vertical="top" wrapText="1"/>
    </xf>
    <xf numFmtId="0" fontId="0" fillId="0" borderId="0" xfId="0" applyFill="1" applyAlignment="1">
      <alignment vertical="top" wrapText="1"/>
    </xf>
    <xf numFmtId="0" fontId="0" fillId="0" borderId="0" xfId="0" applyFill="1" applyAlignment="1">
      <alignment vertical="top"/>
    </xf>
    <xf numFmtId="0" fontId="1" fillId="0" borderId="0" xfId="0" applyFont="1" applyAlignment="1">
      <alignment horizontal="center"/>
    </xf>
    <xf numFmtId="0" fontId="22" fillId="0" borderId="0" xfId="0" applyFont="1" applyFill="1" applyAlignment="1">
      <alignment/>
    </xf>
    <xf numFmtId="0" fontId="0" fillId="0" borderId="0" xfId="0" applyFill="1" applyAlignment="1">
      <alignment/>
    </xf>
    <xf numFmtId="0" fontId="4" fillId="3" borderId="0" xfId="0" applyFont="1" applyFill="1" applyAlignment="1">
      <alignment wrapText="1"/>
    </xf>
    <xf numFmtId="37" fontId="4" fillId="3" borderId="0" xfId="0" applyNumberFormat="1" applyFont="1" applyFill="1" applyBorder="1" applyAlignment="1" applyProtection="1">
      <alignment horizontal="center" wrapText="1"/>
      <protection/>
    </xf>
    <xf numFmtId="0" fontId="1" fillId="3" borderId="0" xfId="0" applyFont="1" applyFill="1" applyAlignment="1">
      <alignment horizontal="center"/>
    </xf>
    <xf numFmtId="0" fontId="1" fillId="3" borderId="0" xfId="0" applyFont="1" applyFill="1" applyAlignment="1">
      <alignment horizontal="center" wrapText="1"/>
    </xf>
    <xf numFmtId="0" fontId="0" fillId="0" borderId="0" xfId="0" applyFont="1" applyAlignment="1">
      <alignment/>
    </xf>
    <xf numFmtId="37" fontId="24" fillId="3" borderId="0" xfId="0" applyNumberFormat="1" applyFont="1" applyFill="1" applyBorder="1" applyAlignment="1" applyProtection="1">
      <alignment horizontal="center" wrapText="1"/>
      <protection/>
    </xf>
    <xf numFmtId="0" fontId="0" fillId="0" borderId="0" xfId="0" applyAlignment="1">
      <alignment horizontal="center"/>
    </xf>
    <xf numFmtId="0" fontId="9" fillId="0" borderId="0" xfId="0" applyFont="1" applyAlignment="1">
      <alignment/>
    </xf>
    <xf numFmtId="37" fontId="10" fillId="4" borderId="0" xfId="0" applyNumberFormat="1" applyFont="1" applyFill="1" applyBorder="1" applyAlignment="1" applyProtection="1">
      <alignment horizontal="center" wrapText="1"/>
      <protection/>
    </xf>
    <xf numFmtId="0" fontId="10" fillId="4" borderId="0" xfId="0" applyFont="1" applyFill="1" applyAlignment="1">
      <alignment horizontal="center" wrapText="1"/>
    </xf>
    <xf numFmtId="9" fontId="1" fillId="3" borderId="0" xfId="21" applyFont="1" applyFill="1" applyBorder="1" applyAlignment="1" applyProtection="1">
      <alignment horizontal="center"/>
      <protection/>
    </xf>
    <xf numFmtId="9" fontId="1" fillId="3" borderId="0" xfId="0" applyNumberFormat="1" applyFont="1" applyFill="1" applyBorder="1" applyAlignment="1" applyProtection="1">
      <alignment horizontal="center"/>
      <protection/>
    </xf>
    <xf numFmtId="0" fontId="1" fillId="3" borderId="0" xfId="0" applyFont="1" applyFill="1" applyBorder="1" applyAlignment="1" applyProtection="1">
      <alignment horizontal="center"/>
      <protection/>
    </xf>
    <xf numFmtId="0" fontId="2" fillId="0" borderId="0" xfId="0" applyFont="1" applyFill="1" applyBorder="1" applyAlignment="1" applyProtection="1">
      <alignment/>
      <protection/>
    </xf>
    <xf numFmtId="37" fontId="1" fillId="3" borderId="0" xfId="0" applyNumberFormat="1" applyFont="1" applyFill="1" applyBorder="1" applyAlignment="1" applyProtection="1">
      <alignment/>
      <protection/>
    </xf>
    <xf numFmtId="0" fontId="2" fillId="0" borderId="0" xfId="0" applyFont="1" applyFill="1" applyBorder="1" applyAlignment="1" applyProtection="1">
      <alignment horizontal="center"/>
      <protection/>
    </xf>
    <xf numFmtId="0" fontId="1" fillId="0" borderId="0" xfId="0" applyFont="1" applyFill="1" applyBorder="1" applyAlignment="1" applyProtection="1">
      <alignment/>
      <protection/>
    </xf>
    <xf numFmtId="0" fontId="9" fillId="0" borderId="0" xfId="0" applyFont="1" applyAlignment="1">
      <alignment horizontal="center"/>
    </xf>
    <xf numFmtId="0" fontId="6" fillId="0" borderId="0" xfId="0" applyFont="1" applyFill="1" applyBorder="1" applyAlignment="1">
      <alignment/>
    </xf>
    <xf numFmtId="0" fontId="0" fillId="0" borderId="0" xfId="0" applyFill="1" applyBorder="1" applyAlignment="1">
      <alignment/>
    </xf>
    <xf numFmtId="0" fontId="6" fillId="0" borderId="1" xfId="0" applyFont="1" applyBorder="1" applyAlignment="1">
      <alignment/>
    </xf>
    <xf numFmtId="0" fontId="0" fillId="0" borderId="2" xfId="0" applyFill="1" applyBorder="1" applyAlignment="1">
      <alignment/>
    </xf>
    <xf numFmtId="0" fontId="0" fillId="0" borderId="3" xfId="0" applyFill="1" applyBorder="1" applyAlignment="1">
      <alignment/>
    </xf>
    <xf numFmtId="0" fontId="6" fillId="0" borderId="4" xfId="0" applyFont="1" applyFill="1" applyBorder="1" applyAlignment="1">
      <alignment/>
    </xf>
    <xf numFmtId="0" fontId="10" fillId="0" borderId="5" xfId="0" applyFont="1" applyFill="1" applyBorder="1" applyAlignment="1">
      <alignment/>
    </xf>
    <xf numFmtId="0" fontId="10" fillId="0" borderId="6" xfId="0" applyFont="1" applyBorder="1" applyAlignment="1">
      <alignment/>
    </xf>
    <xf numFmtId="0" fontId="10" fillId="0" borderId="7" xfId="0" applyFont="1" applyBorder="1" applyAlignment="1">
      <alignment/>
    </xf>
    <xf numFmtId="0" fontId="1" fillId="0" borderId="0" xfId="0" applyFont="1" applyAlignment="1" applyProtection="1">
      <alignment/>
      <protection/>
    </xf>
    <xf numFmtId="0" fontId="2" fillId="0" borderId="0" xfId="0" applyFont="1" applyAlignment="1" applyProtection="1">
      <alignment horizontal="left"/>
      <protection/>
    </xf>
    <xf numFmtId="0" fontId="8" fillId="0" borderId="1" xfId="0" applyFont="1" applyBorder="1" applyAlignment="1" applyProtection="1">
      <alignment/>
      <protection locked="0"/>
    </xf>
    <xf numFmtId="0" fontId="8" fillId="0" borderId="1" xfId="0" applyNumberFormat="1" applyFont="1" applyBorder="1" applyAlignment="1" applyProtection="1">
      <alignment wrapText="1"/>
      <protection locked="0"/>
    </xf>
    <xf numFmtId="0" fontId="9" fillId="0" borderId="1" xfId="0" applyFont="1" applyBorder="1" applyAlignment="1" applyProtection="1">
      <alignment horizontal="center"/>
      <protection locked="0"/>
    </xf>
    <xf numFmtId="0" fontId="9" fillId="0" borderId="1" xfId="0" applyFont="1" applyBorder="1" applyAlignment="1" applyProtection="1">
      <alignment/>
      <protection locked="0"/>
    </xf>
    <xf numFmtId="0" fontId="0" fillId="0" borderId="0" xfId="0" applyAlignment="1" applyProtection="1">
      <alignment/>
      <protection locked="0"/>
    </xf>
    <xf numFmtId="0" fontId="8" fillId="0" borderId="0" xfId="0"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0" fontId="8" fillId="0" borderId="0" xfId="0" applyFont="1" applyFill="1" applyBorder="1" applyAlignment="1" applyProtection="1">
      <alignment/>
      <protection locked="0"/>
    </xf>
    <xf numFmtId="0" fontId="8" fillId="0" borderId="0" xfId="0" applyNumberFormat="1" applyFont="1" applyFill="1" applyBorder="1" applyAlignment="1" applyProtection="1">
      <alignment wrapText="1"/>
      <protection locked="0"/>
    </xf>
    <xf numFmtId="0" fontId="9" fillId="0" borderId="0" xfId="0" applyFont="1" applyFill="1" applyBorder="1" applyAlignment="1" applyProtection="1">
      <alignment/>
      <protection locked="0"/>
    </xf>
    <xf numFmtId="9" fontId="8" fillId="0" borderId="0" xfId="0" applyNumberFormat="1" applyFont="1" applyFill="1" applyBorder="1" applyAlignment="1" applyProtection="1">
      <alignment horizontal="center"/>
      <protection locked="0"/>
    </xf>
    <xf numFmtId="9" fontId="8" fillId="0" borderId="4" xfId="0" applyNumberFormat="1" applyFont="1" applyFill="1" applyBorder="1" applyAlignment="1" applyProtection="1">
      <alignment horizontal="center"/>
      <protection locked="0"/>
    </xf>
    <xf numFmtId="0" fontId="9" fillId="0" borderId="0" xfId="0" applyFont="1" applyAlignment="1" applyProtection="1">
      <alignment/>
      <protection locked="0"/>
    </xf>
    <xf numFmtId="0" fontId="0" fillId="0" borderId="0" xfId="0" applyFont="1" applyAlignment="1" applyProtection="1">
      <alignment/>
      <protection locked="0"/>
    </xf>
    <xf numFmtId="0" fontId="2" fillId="0" borderId="0" xfId="0" applyFont="1" applyAlignment="1" applyProtection="1">
      <alignment wrapText="1"/>
      <protection locked="0"/>
    </xf>
    <xf numFmtId="0" fontId="9" fillId="0" borderId="0" xfId="0" applyFont="1" applyFill="1" applyAlignment="1" applyProtection="1">
      <alignment/>
      <protection locked="0"/>
    </xf>
    <xf numFmtId="0" fontId="9" fillId="0" borderId="8" xfId="0" applyFont="1" applyBorder="1" applyAlignment="1" applyProtection="1">
      <alignment/>
      <protection locked="0"/>
    </xf>
    <xf numFmtId="0" fontId="0" fillId="0" borderId="0" xfId="0" applyFill="1" applyAlignment="1">
      <alignment horizontal="center"/>
    </xf>
    <xf numFmtId="0" fontId="0" fillId="0" borderId="0" xfId="0" applyAlignment="1">
      <alignment wrapText="1"/>
    </xf>
    <xf numFmtId="0" fontId="7" fillId="0" borderId="0" xfId="0" applyFont="1" applyAlignment="1">
      <alignment horizontal="left" vertical="top"/>
    </xf>
    <xf numFmtId="0" fontId="14" fillId="2" borderId="0" xfId="20" applyFill="1" applyAlignment="1">
      <alignment/>
    </xf>
    <xf numFmtId="0" fontId="9" fillId="0" borderId="0" xfId="0" applyFont="1" applyFill="1" applyAlignment="1">
      <alignment horizontal="center"/>
    </xf>
    <xf numFmtId="0" fontId="22" fillId="2" borderId="0" xfId="0" applyFont="1" applyFill="1" applyAlignment="1">
      <alignment/>
    </xf>
    <xf numFmtId="0" fontId="0" fillId="2" borderId="0" xfId="0" applyFont="1" applyFill="1" applyAlignment="1">
      <alignment horizontal="left" vertical="top"/>
    </xf>
    <xf numFmtId="0" fontId="25" fillId="2" borderId="0" xfId="0" applyFont="1" applyFill="1" applyAlignment="1">
      <alignment/>
    </xf>
    <xf numFmtId="0" fontId="9" fillId="2" borderId="0" xfId="0" applyFont="1" applyFill="1" applyAlignment="1">
      <alignment/>
    </xf>
    <xf numFmtId="164" fontId="0" fillId="0" borderId="0" xfId="0" applyNumberFormat="1" applyFont="1" applyAlignment="1">
      <alignment horizontal="center" vertical="top" wrapText="1"/>
    </xf>
    <xf numFmtId="164" fontId="0" fillId="0" borderId="0" xfId="0" applyNumberFormat="1" applyAlignment="1" quotePrefix="1">
      <alignment vertical="top"/>
    </xf>
    <xf numFmtId="164" fontId="0" fillId="0" borderId="0" xfId="0" applyNumberFormat="1" applyAlignment="1">
      <alignment vertical="top"/>
    </xf>
    <xf numFmtId="0" fontId="0" fillId="0" borderId="0" xfId="0" applyFont="1" applyAlignment="1" applyProtection="1">
      <alignment wrapText="1"/>
      <protection/>
    </xf>
    <xf numFmtId="0" fontId="0" fillId="0" borderId="4" xfId="0" applyBorder="1" applyAlignment="1">
      <alignment/>
    </xf>
    <xf numFmtId="0" fontId="0" fillId="0" borderId="0" xfId="0" applyBorder="1" applyAlignment="1">
      <alignment/>
    </xf>
    <xf numFmtId="0" fontId="1" fillId="0" borderId="0" xfId="0" applyFont="1" applyFill="1" applyAlignment="1">
      <alignment/>
    </xf>
    <xf numFmtId="0" fontId="0" fillId="0" borderId="9" xfId="0" applyBorder="1" applyAlignment="1" applyProtection="1">
      <alignment/>
      <protection locked="0"/>
    </xf>
    <xf numFmtId="0" fontId="0" fillId="0" borderId="0" xfId="0" applyBorder="1" applyAlignment="1" applyProtection="1">
      <alignment/>
      <protection locked="0"/>
    </xf>
    <xf numFmtId="0" fontId="0" fillId="3" borderId="0" xfId="0" applyFill="1" applyBorder="1" applyAlignment="1">
      <alignment/>
    </xf>
    <xf numFmtId="0" fontId="0" fillId="3" borderId="0" xfId="0" applyFill="1" applyAlignment="1">
      <alignment/>
    </xf>
    <xf numFmtId="0" fontId="26" fillId="3" borderId="0" xfId="0" applyFont="1" applyFill="1" applyAlignment="1">
      <alignment/>
    </xf>
    <xf numFmtId="0" fontId="1" fillId="0" borderId="0" xfId="0" applyFont="1" applyFill="1" applyAlignment="1">
      <alignment horizontal="center" wrapText="1"/>
    </xf>
    <xf numFmtId="0" fontId="0" fillId="0" borderId="0" xfId="0" applyFill="1" applyAlignment="1">
      <alignment wrapText="1"/>
    </xf>
    <xf numFmtId="0" fontId="1" fillId="0" borderId="0" xfId="0" applyFont="1" applyFill="1" applyAlignment="1">
      <alignment wrapText="1"/>
    </xf>
    <xf numFmtId="0" fontId="27" fillId="3" borderId="0" xfId="0" applyFont="1" applyFill="1" applyAlignment="1">
      <alignment vertical="center"/>
    </xf>
    <xf numFmtId="0" fontId="5" fillId="0" borderId="0" xfId="0" applyFont="1" applyAlignment="1">
      <alignment/>
    </xf>
    <xf numFmtId="166" fontId="1" fillId="0" borderId="0" xfId="0" applyNumberFormat="1" applyFont="1" applyBorder="1" applyAlignment="1" applyProtection="1">
      <alignment/>
      <protection/>
    </xf>
    <xf numFmtId="166" fontId="1" fillId="0" borderId="0" xfId="0" applyNumberFormat="1" applyFont="1" applyBorder="1" applyAlignment="1" applyProtection="1">
      <alignment/>
      <protection/>
    </xf>
    <xf numFmtId="166" fontId="0" fillId="0" borderId="0" xfId="0" applyNumberFormat="1" applyFont="1" applyBorder="1" applyAlignment="1" applyProtection="1">
      <alignment/>
      <protection/>
    </xf>
    <xf numFmtId="166" fontId="0" fillId="0" borderId="0" xfId="0" applyNumberFormat="1" applyFont="1" applyBorder="1" applyAlignment="1">
      <alignment/>
    </xf>
    <xf numFmtId="166" fontId="1" fillId="0" borderId="0" xfId="0" applyNumberFormat="1" applyFont="1" applyBorder="1" applyAlignment="1" applyProtection="1">
      <alignment/>
      <protection locked="0"/>
    </xf>
    <xf numFmtId="166" fontId="0" fillId="0" borderId="0" xfId="0" applyNumberFormat="1" applyFont="1" applyBorder="1" applyAlignment="1" applyProtection="1">
      <alignment/>
      <protection locked="0"/>
    </xf>
    <xf numFmtId="166" fontId="2" fillId="0" borderId="0" xfId="0" applyNumberFormat="1" applyFont="1" applyAlignment="1" applyProtection="1">
      <alignment horizontal="left"/>
      <protection/>
    </xf>
    <xf numFmtId="166" fontId="2" fillId="0" borderId="0" xfId="0" applyNumberFormat="1" applyFont="1" applyAlignment="1" applyProtection="1">
      <alignment wrapText="1"/>
      <protection locked="0"/>
    </xf>
    <xf numFmtId="166" fontId="0" fillId="0" borderId="0" xfId="0" applyNumberFormat="1" applyFont="1" applyAlignment="1" applyProtection="1">
      <alignment/>
      <protection locked="0"/>
    </xf>
    <xf numFmtId="166" fontId="2" fillId="0" borderId="0" xfId="0" applyNumberFormat="1" applyFont="1" applyAlignment="1">
      <alignment wrapText="1"/>
    </xf>
    <xf numFmtId="166" fontId="0" fillId="0" borderId="0" xfId="0" applyNumberFormat="1" applyAlignment="1">
      <alignment/>
    </xf>
    <xf numFmtId="166" fontId="2" fillId="0" borderId="0" xfId="0" applyNumberFormat="1" applyFont="1" applyAlignment="1">
      <alignment horizontal="left"/>
    </xf>
    <xf numFmtId="166" fontId="0" fillId="0" borderId="0" xfId="0" applyNumberFormat="1" applyAlignment="1">
      <alignment/>
    </xf>
    <xf numFmtId="0" fontId="0" fillId="0" borderId="0" xfId="0" applyFont="1" applyAlignment="1">
      <alignment wrapText="1"/>
    </xf>
    <xf numFmtId="0" fontId="1" fillId="0" borderId="0" xfId="0" applyFont="1" applyAlignment="1">
      <alignment horizontal="center"/>
    </xf>
    <xf numFmtId="0" fontId="1" fillId="0" borderId="0" xfId="0" applyFont="1" applyAlignment="1">
      <alignment/>
    </xf>
    <xf numFmtId="0" fontId="0" fillId="0" borderId="0" xfId="0" applyFont="1" applyAlignment="1">
      <alignment/>
    </xf>
    <xf numFmtId="0" fontId="2" fillId="0" borderId="0" xfId="0" applyFont="1" applyAlignment="1">
      <alignment wrapText="1"/>
    </xf>
    <xf numFmtId="0" fontId="0" fillId="0" borderId="0" xfId="0" applyFont="1" applyAlignment="1">
      <alignment/>
    </xf>
    <xf numFmtId="0" fontId="5" fillId="0" borderId="0" xfId="0" applyFont="1" applyAlignment="1">
      <alignment wrapText="1"/>
    </xf>
    <xf numFmtId="0" fontId="1" fillId="0" borderId="0" xfId="0" applyFont="1" applyAlignment="1" applyProtection="1">
      <alignment/>
      <protection/>
    </xf>
    <xf numFmtId="166" fontId="1" fillId="0" borderId="0" xfId="0" applyNumberFormat="1" applyFont="1" applyBorder="1" applyAlignment="1" applyProtection="1">
      <alignment/>
      <protection/>
    </xf>
    <xf numFmtId="166" fontId="2" fillId="0" borderId="0" xfId="0" applyNumberFormat="1" applyFont="1" applyAlignment="1">
      <alignment wrapText="1"/>
    </xf>
    <xf numFmtId="166" fontId="1" fillId="0" borderId="0" xfId="0" applyNumberFormat="1" applyFont="1" applyBorder="1" applyAlignment="1" applyProtection="1">
      <alignment/>
      <protection/>
    </xf>
    <xf numFmtId="166" fontId="0" fillId="0" borderId="0" xfId="0" applyNumberFormat="1" applyFont="1" applyBorder="1" applyAlignment="1" applyProtection="1">
      <alignment/>
      <protection/>
    </xf>
    <xf numFmtId="166" fontId="0" fillId="0" borderId="0" xfId="0" applyNumberFormat="1" applyFont="1" applyBorder="1" applyAlignment="1">
      <alignment/>
    </xf>
    <xf numFmtId="166" fontId="0" fillId="0" borderId="0" xfId="0" applyNumberFormat="1" applyFont="1" applyAlignment="1">
      <alignment/>
    </xf>
    <xf numFmtId="0" fontId="0" fillId="0" borderId="0" xfId="0" applyFont="1" applyAlignment="1">
      <alignment/>
    </xf>
    <xf numFmtId="166" fontId="1" fillId="0" borderId="0" xfId="0" applyNumberFormat="1" applyFont="1" applyBorder="1" applyAlignment="1" applyProtection="1">
      <alignment/>
      <protection locked="0"/>
    </xf>
    <xf numFmtId="166" fontId="0" fillId="0" borderId="0" xfId="0" applyNumberFormat="1" applyFont="1" applyBorder="1" applyAlignment="1" applyProtection="1">
      <alignment/>
      <protection locked="0"/>
    </xf>
    <xf numFmtId="166" fontId="2" fillId="0" borderId="0" xfId="0" applyNumberFormat="1" applyFont="1" applyAlignment="1" applyProtection="1">
      <alignment horizontal="left"/>
      <protection/>
    </xf>
    <xf numFmtId="166" fontId="2" fillId="0" borderId="0" xfId="0" applyNumberFormat="1" applyFont="1" applyAlignment="1" applyProtection="1">
      <alignment wrapText="1"/>
      <protection locked="0"/>
    </xf>
    <xf numFmtId="166" fontId="0" fillId="0" borderId="0" xfId="0" applyNumberFormat="1" applyFont="1" applyAlignment="1" applyProtection="1">
      <alignment/>
      <protection locked="0"/>
    </xf>
    <xf numFmtId="0" fontId="23" fillId="0" borderId="10" xfId="0" applyFont="1" applyFill="1" applyBorder="1" applyAlignment="1">
      <alignment wrapText="1"/>
    </xf>
    <xf numFmtId="0" fontId="0" fillId="0" borderId="0" xfId="0" applyNumberFormat="1" applyAlignment="1">
      <alignment/>
    </xf>
    <xf numFmtId="0" fontId="2" fillId="0" borderId="0" xfId="0" applyNumberFormat="1" applyFont="1" applyAlignment="1">
      <alignment wrapText="1"/>
    </xf>
    <xf numFmtId="0" fontId="0" fillId="0" borderId="0" xfId="0" applyNumberFormat="1" applyAlignment="1">
      <alignment/>
    </xf>
    <xf numFmtId="0" fontId="4" fillId="3" borderId="0" xfId="0" applyNumberFormat="1" applyFont="1" applyFill="1" applyAlignment="1">
      <alignment horizontal="center" wrapText="1"/>
    </xf>
    <xf numFmtId="0" fontId="8" fillId="0" borderId="0" xfId="0" applyNumberFormat="1" applyFont="1" applyFill="1" applyBorder="1" applyAlignment="1" applyProtection="1">
      <alignment horizontal="center"/>
      <protection locked="0"/>
    </xf>
    <xf numFmtId="0" fontId="8" fillId="0" borderId="4" xfId="0" applyNumberFormat="1" applyFont="1" applyFill="1" applyBorder="1" applyAlignment="1" applyProtection="1">
      <alignment horizontal="center"/>
      <protection locked="0"/>
    </xf>
    <xf numFmtId="0" fontId="0" fillId="0" borderId="0" xfId="0" applyNumberFormat="1" applyAlignment="1">
      <alignment horizontal="center"/>
    </xf>
    <xf numFmtId="0" fontId="0" fillId="0" borderId="0" xfId="0" applyNumberFormat="1" applyFill="1" applyAlignment="1">
      <alignment horizontal="center"/>
    </xf>
    <xf numFmtId="0" fontId="4" fillId="3" borderId="0" xfId="0" applyNumberFormat="1" applyFont="1" applyFill="1" applyBorder="1" applyAlignment="1" applyProtection="1">
      <alignment horizontal="center" wrapText="1"/>
      <protection/>
    </xf>
    <xf numFmtId="0" fontId="9" fillId="0" borderId="0" xfId="0" applyNumberFormat="1" applyFont="1" applyAlignment="1">
      <alignment horizontal="center"/>
    </xf>
    <xf numFmtId="0" fontId="8" fillId="5" borderId="0" xfId="0" applyFont="1" applyFill="1" applyBorder="1" applyAlignment="1" applyProtection="1">
      <alignment/>
      <protection locked="0"/>
    </xf>
    <xf numFmtId="0" fontId="8" fillId="5" borderId="0" xfId="0" applyNumberFormat="1" applyFont="1" applyFill="1" applyBorder="1" applyAlignment="1" applyProtection="1">
      <alignment wrapText="1"/>
      <protection locked="0"/>
    </xf>
    <xf numFmtId="0" fontId="8" fillId="5" borderId="4" xfId="0" applyFont="1" applyFill="1" applyBorder="1" applyAlignment="1" applyProtection="1">
      <alignment/>
      <protection locked="0"/>
    </xf>
    <xf numFmtId="0" fontId="8" fillId="5" borderId="4" xfId="0" applyNumberFormat="1" applyFont="1" applyFill="1" applyBorder="1" applyAlignment="1" applyProtection="1">
      <alignment wrapText="1"/>
      <protection locked="0"/>
    </xf>
    <xf numFmtId="0" fontId="8" fillId="5" borderId="1" xfId="0" applyNumberFormat="1" applyFont="1" applyFill="1" applyBorder="1" applyAlignment="1" applyProtection="1">
      <alignment wrapText="1"/>
      <protection/>
    </xf>
    <xf numFmtId="0" fontId="8" fillId="5" borderId="11" xfId="0" applyNumberFormat="1" applyFont="1" applyFill="1" applyBorder="1" applyAlignment="1" applyProtection="1">
      <alignment wrapText="1"/>
      <protection locked="0"/>
    </xf>
    <xf numFmtId="0" fontId="8" fillId="5" borderId="12" xfId="0" applyNumberFormat="1" applyFont="1" applyFill="1" applyBorder="1" applyAlignment="1" applyProtection="1">
      <alignment wrapText="1"/>
      <protection locked="0"/>
    </xf>
    <xf numFmtId="0" fontId="12" fillId="0" borderId="0" xfId="0" applyFont="1" applyAlignment="1">
      <alignment vertical="top"/>
    </xf>
    <xf numFmtId="0" fontId="9" fillId="0" borderId="4" xfId="0" applyFont="1" applyBorder="1" applyAlignment="1" applyProtection="1">
      <alignment/>
      <protection locked="0"/>
    </xf>
    <xf numFmtId="0" fontId="9" fillId="0" borderId="0" xfId="0" applyFont="1" applyBorder="1" applyAlignment="1" applyProtection="1">
      <alignment/>
      <protection locked="0"/>
    </xf>
    <xf numFmtId="0" fontId="6" fillId="0" borderId="0" xfId="0" applyFont="1" applyAlignment="1">
      <alignment horizontal="center" vertical="top"/>
    </xf>
    <xf numFmtId="0" fontId="29" fillId="0" borderId="0" xfId="0" applyFont="1" applyAlignment="1">
      <alignment/>
    </xf>
    <xf numFmtId="0" fontId="30" fillId="0" borderId="0" xfId="0" applyFont="1" applyAlignment="1">
      <alignment wrapText="1"/>
    </xf>
    <xf numFmtId="0" fontId="29" fillId="0" borderId="0" xfId="0" applyFont="1" applyAlignment="1">
      <alignment horizontal="center"/>
    </xf>
    <xf numFmtId="0" fontId="29" fillId="0" borderId="0" xfId="0" applyFont="1" applyAlignment="1" applyProtection="1">
      <alignment/>
      <protection/>
    </xf>
    <xf numFmtId="0" fontId="31" fillId="0" borderId="9" xfId="0" applyFont="1" applyBorder="1" applyAlignment="1" applyProtection="1">
      <alignment/>
      <protection locked="0"/>
    </xf>
    <xf numFmtId="0" fontId="31" fillId="0" borderId="9" xfId="0" applyFont="1" applyBorder="1" applyAlignment="1" applyProtection="1">
      <alignment/>
      <protection locked="0"/>
    </xf>
    <xf numFmtId="0" fontId="31" fillId="0" borderId="0" xfId="0" applyFont="1" applyBorder="1" applyAlignment="1" applyProtection="1">
      <alignment/>
      <protection locked="0"/>
    </xf>
    <xf numFmtId="0" fontId="30" fillId="0" borderId="0" xfId="0" applyFont="1" applyAlignment="1" applyProtection="1">
      <alignment horizontal="left"/>
      <protection/>
    </xf>
    <xf numFmtId="0" fontId="30" fillId="0" borderId="0" xfId="0" applyFont="1" applyAlignment="1" applyProtection="1">
      <alignment wrapText="1"/>
      <protection/>
    </xf>
    <xf numFmtId="0" fontId="30" fillId="0" borderId="0" xfId="0" applyFont="1" applyAlignment="1">
      <alignment/>
    </xf>
    <xf numFmtId="0" fontId="30" fillId="0" borderId="0" xfId="0" applyFont="1" applyAlignment="1">
      <alignment/>
    </xf>
    <xf numFmtId="0" fontId="30" fillId="0" borderId="0" xfId="0" applyFont="1" applyAlignment="1" applyProtection="1">
      <alignment/>
      <protection locked="0"/>
    </xf>
    <xf numFmtId="0" fontId="30" fillId="0" borderId="0" xfId="0" applyFont="1" applyAlignment="1" applyProtection="1">
      <alignment/>
      <protection locked="0"/>
    </xf>
    <xf numFmtId="37" fontId="29" fillId="3" borderId="0" xfId="0" applyNumberFormat="1" applyFont="1" applyFill="1" applyBorder="1" applyAlignment="1" applyProtection="1">
      <alignment horizontal="left"/>
      <protection/>
    </xf>
    <xf numFmtId="37" fontId="33" fillId="3" borderId="0" xfId="0" applyNumberFormat="1" applyFont="1" applyFill="1" applyBorder="1" applyAlignment="1" applyProtection="1">
      <alignment horizontal="center"/>
      <protection/>
    </xf>
    <xf numFmtId="37" fontId="33" fillId="3" borderId="0" xfId="0" applyNumberFormat="1" applyFont="1" applyFill="1" applyBorder="1" applyAlignment="1" applyProtection="1">
      <alignment horizontal="left" wrapText="1"/>
      <protection/>
    </xf>
    <xf numFmtId="0" fontId="29" fillId="4" borderId="0" xfId="0" applyFont="1" applyFill="1" applyAlignment="1">
      <alignment horizontal="center" wrapText="1"/>
    </xf>
    <xf numFmtId="0" fontId="34" fillId="3" borderId="0" xfId="0" applyFont="1" applyFill="1" applyAlignment="1">
      <alignment horizontal="left"/>
    </xf>
    <xf numFmtId="0" fontId="30" fillId="0" borderId="0" xfId="0" applyFont="1" applyAlignment="1">
      <alignment horizontal="left"/>
    </xf>
    <xf numFmtId="37" fontId="29" fillId="4" borderId="0" xfId="0" applyNumberFormat="1" applyFont="1" applyFill="1" applyBorder="1" applyAlignment="1" applyProtection="1">
      <alignment horizontal="center" wrapText="1"/>
      <protection/>
    </xf>
    <xf numFmtId="0" fontId="30" fillId="0" borderId="0" xfId="0" applyFont="1" applyAlignment="1">
      <alignment horizontal="center"/>
    </xf>
    <xf numFmtId="0" fontId="30" fillId="0" borderId="0" xfId="0" applyNumberFormat="1" applyFont="1" applyAlignment="1" quotePrefix="1">
      <alignment horizontal="center" vertical="top"/>
    </xf>
    <xf numFmtId="0" fontId="35" fillId="0" borderId="0" xfId="0" applyFont="1" applyAlignment="1">
      <alignment horizontal="left" vertical="top" wrapText="1"/>
    </xf>
    <xf numFmtId="0" fontId="36" fillId="0" borderId="0" xfId="0" applyFont="1" applyAlignment="1" applyProtection="1">
      <alignment horizontal="left" vertical="top" wrapText="1"/>
      <protection locked="0"/>
    </xf>
    <xf numFmtId="9" fontId="36" fillId="0" borderId="0" xfId="21" applyNumberFormat="1" applyFont="1" applyAlignment="1" applyProtection="1">
      <alignment horizontal="center" vertical="top"/>
      <protection locked="0"/>
    </xf>
    <xf numFmtId="164" fontId="30" fillId="0" borderId="0" xfId="0" applyNumberFormat="1" applyFont="1" applyAlignment="1">
      <alignment horizontal="center" vertical="top" wrapText="1"/>
    </xf>
    <xf numFmtId="0" fontId="30" fillId="0" borderId="0" xfId="0" applyFont="1" applyAlignment="1" applyProtection="1">
      <alignment horizontal="center" wrapText="1"/>
      <protection locked="0"/>
    </xf>
    <xf numFmtId="0" fontId="29" fillId="3" borderId="0" xfId="0" applyFont="1" applyFill="1" applyAlignment="1">
      <alignment horizontal="center"/>
    </xf>
    <xf numFmtId="0" fontId="29" fillId="3" borderId="0" xfId="0" applyFont="1" applyFill="1" applyAlignment="1">
      <alignment/>
    </xf>
    <xf numFmtId="0" fontId="33" fillId="3" borderId="0" xfId="0" applyFont="1" applyFill="1" applyAlignment="1">
      <alignment horizontal="center" wrapText="1"/>
    </xf>
    <xf numFmtId="9" fontId="29" fillId="3" borderId="0" xfId="21" applyFont="1" applyFill="1" applyAlignment="1">
      <alignment horizontal="center" shrinkToFit="1"/>
    </xf>
    <xf numFmtId="9" fontId="29" fillId="3" borderId="0" xfId="21" applyFont="1" applyFill="1" applyAlignment="1">
      <alignment horizontal="center"/>
    </xf>
    <xf numFmtId="0" fontId="30" fillId="0" borderId="0" xfId="0" applyFont="1" applyAlignment="1">
      <alignment horizontal="center" wrapText="1"/>
    </xf>
    <xf numFmtId="37" fontId="33" fillId="3" borderId="0" xfId="0" applyNumberFormat="1" applyFont="1" applyFill="1" applyBorder="1" applyAlignment="1" applyProtection="1">
      <alignment horizontal="center" wrapText="1"/>
      <protection/>
    </xf>
    <xf numFmtId="0" fontId="34" fillId="3" borderId="0" xfId="0" applyFont="1" applyFill="1" applyAlignment="1">
      <alignment horizontal="center"/>
    </xf>
    <xf numFmtId="0" fontId="36" fillId="0" borderId="0" xfId="0" applyFont="1" applyAlignment="1" applyProtection="1">
      <alignment horizontal="center" vertical="top"/>
      <protection locked="0"/>
    </xf>
    <xf numFmtId="0" fontId="29" fillId="0" borderId="0" xfId="0" applyFont="1" applyAlignment="1">
      <alignment horizontal="center" vertical="center"/>
    </xf>
    <xf numFmtId="0" fontId="37" fillId="0" borderId="13" xfId="0" applyFont="1" applyBorder="1" applyAlignment="1">
      <alignment horizontal="left" vertical="top" wrapText="1"/>
    </xf>
    <xf numFmtId="0" fontId="36" fillId="0" borderId="0" xfId="0" applyFont="1" applyBorder="1" applyAlignment="1" applyProtection="1">
      <alignment horizontal="center" vertical="top"/>
      <protection locked="0"/>
    </xf>
    <xf numFmtId="9" fontId="36" fillId="0" borderId="0" xfId="21" applyNumberFormat="1" applyFont="1" applyAlignment="1" applyProtection="1">
      <alignment horizontal="center" vertical="top"/>
      <protection/>
    </xf>
    <xf numFmtId="0" fontId="29" fillId="3" borderId="0" xfId="0" applyFont="1" applyFill="1" applyAlignment="1">
      <alignment horizontal="left"/>
    </xf>
    <xf numFmtId="0" fontId="30" fillId="0" borderId="0" xfId="0" applyFont="1" applyFill="1" applyAlignment="1">
      <alignment/>
    </xf>
    <xf numFmtId="0" fontId="30" fillId="0" borderId="0" xfId="0" applyNumberFormat="1" applyFont="1" applyFill="1" applyAlignment="1" quotePrefix="1">
      <alignment horizontal="center" vertical="top"/>
    </xf>
    <xf numFmtId="0" fontId="35" fillId="0" borderId="0" xfId="0" applyFont="1" applyFill="1" applyAlignment="1">
      <alignment horizontal="left" vertical="top" wrapText="1"/>
    </xf>
    <xf numFmtId="0" fontId="36" fillId="0" borderId="0" xfId="0" applyFont="1" applyFill="1" applyAlignment="1" applyProtection="1">
      <alignment horizontal="center" vertical="top"/>
      <protection locked="0"/>
    </xf>
    <xf numFmtId="0" fontId="36" fillId="0" borderId="0" xfId="0" applyFont="1" applyFill="1" applyAlignment="1" applyProtection="1">
      <alignment horizontal="left" vertical="top" wrapText="1"/>
      <protection locked="0"/>
    </xf>
    <xf numFmtId="0" fontId="30" fillId="0" borderId="0" xfId="0" applyFont="1" applyAlignment="1">
      <alignment horizontal="center" vertical="top"/>
    </xf>
    <xf numFmtId="0" fontId="36" fillId="0" borderId="0" xfId="0" applyNumberFormat="1" applyFont="1" applyAlignment="1" applyProtection="1">
      <alignment horizontal="left" vertical="top" wrapText="1"/>
      <protection locked="0"/>
    </xf>
    <xf numFmtId="37" fontId="32" fillId="3" borderId="0" xfId="0" applyNumberFormat="1" applyFont="1" applyFill="1" applyBorder="1" applyAlignment="1" applyProtection="1">
      <alignment horizontal="center" wrapText="1"/>
      <protection/>
    </xf>
    <xf numFmtId="0" fontId="36" fillId="0" borderId="0" xfId="0" applyFont="1" applyAlignment="1" applyProtection="1">
      <alignment horizontal="center" vertical="top" wrapText="1"/>
      <protection locked="0"/>
    </xf>
    <xf numFmtId="0" fontId="30" fillId="0" borderId="0" xfId="0" applyNumberFormat="1" applyFont="1" applyBorder="1" applyAlignment="1" quotePrefix="1">
      <alignment horizontal="center" vertical="top"/>
    </xf>
    <xf numFmtId="0" fontId="35" fillId="0" borderId="0" xfId="0" applyFont="1" applyBorder="1" applyAlignment="1">
      <alignment horizontal="left" vertical="top" wrapText="1"/>
    </xf>
    <xf numFmtId="0" fontId="29" fillId="3" borderId="0" xfId="0" applyFont="1" applyFill="1" applyAlignment="1">
      <alignment horizontal="center" wrapText="1"/>
    </xf>
    <xf numFmtId="37" fontId="29" fillId="4" borderId="0" xfId="0" applyNumberFormat="1" applyFont="1" applyFill="1" applyBorder="1" applyAlignment="1" applyProtection="1">
      <alignment horizontal="center" vertical="top" wrapText="1"/>
      <protection/>
    </xf>
    <xf numFmtId="37" fontId="36" fillId="0" borderId="0" xfId="0" applyNumberFormat="1" applyFont="1" applyFill="1" applyBorder="1" applyAlignment="1" applyProtection="1">
      <alignment horizontal="center" vertical="top" wrapText="1"/>
      <protection locked="0"/>
    </xf>
    <xf numFmtId="0" fontId="30" fillId="0" borderId="0" xfId="0" applyFont="1" applyAlignment="1">
      <alignment vertical="top"/>
    </xf>
    <xf numFmtId="0" fontId="30" fillId="0" borderId="0" xfId="0" applyFont="1" applyAlignment="1">
      <alignment vertical="top" wrapText="1"/>
    </xf>
    <xf numFmtId="0" fontId="31" fillId="0" borderId="9" xfId="0" applyFont="1" applyBorder="1" applyAlignment="1" applyProtection="1">
      <alignment vertical="top"/>
      <protection locked="0"/>
    </xf>
    <xf numFmtId="0" fontId="30" fillId="0" borderId="0" xfId="0" applyFont="1" applyAlignment="1" applyProtection="1">
      <alignment vertical="top"/>
      <protection/>
    </xf>
    <xf numFmtId="0" fontId="29" fillId="0" borderId="0" xfId="0" applyFont="1" applyAlignment="1" applyProtection="1">
      <alignment vertical="top"/>
      <protection/>
    </xf>
    <xf numFmtId="0" fontId="30" fillId="0" borderId="0" xfId="0" applyFont="1" applyAlignment="1" applyProtection="1">
      <alignment vertical="top"/>
      <protection locked="0"/>
    </xf>
    <xf numFmtId="0" fontId="30" fillId="0" borderId="0" xfId="0" applyFont="1" applyAlignment="1" applyProtection="1">
      <alignment vertical="top" wrapText="1"/>
      <protection locked="0"/>
    </xf>
    <xf numFmtId="37" fontId="33" fillId="3" borderId="0" xfId="0" applyNumberFormat="1" applyFont="1" applyFill="1" applyBorder="1" applyAlignment="1" applyProtection="1">
      <alignment horizontal="left" vertical="top"/>
      <protection/>
    </xf>
    <xf numFmtId="0" fontId="30" fillId="0" borderId="0" xfId="0" applyFont="1" applyAlignment="1" applyProtection="1">
      <alignment horizontal="center" vertical="top"/>
      <protection locked="0"/>
    </xf>
    <xf numFmtId="0" fontId="33" fillId="3" borderId="0" xfId="0" applyFont="1" applyFill="1" applyAlignment="1">
      <alignment horizontal="center" vertical="top"/>
    </xf>
    <xf numFmtId="37" fontId="33" fillId="3" borderId="0" xfId="0" applyNumberFormat="1" applyFont="1" applyFill="1" applyBorder="1" applyAlignment="1" applyProtection="1">
      <alignment horizontal="center" vertical="top"/>
      <protection/>
    </xf>
    <xf numFmtId="37" fontId="36" fillId="0" borderId="0" xfId="0" applyNumberFormat="1" applyFont="1" applyFill="1" applyBorder="1" applyAlignment="1" applyProtection="1">
      <alignment horizontal="center" vertical="top" wrapText="1"/>
      <protection/>
    </xf>
    <xf numFmtId="37" fontId="32" fillId="3" borderId="0" xfId="0" applyNumberFormat="1" applyFont="1" applyFill="1" applyBorder="1" applyAlignment="1" applyProtection="1">
      <alignment horizontal="center" vertical="top"/>
      <protection/>
    </xf>
    <xf numFmtId="0" fontId="29" fillId="3" borderId="0" xfId="0" applyFont="1" applyFill="1" applyAlignment="1">
      <alignment horizontal="center" vertical="top"/>
    </xf>
    <xf numFmtId="0" fontId="8" fillId="0" borderId="1" xfId="0" applyFont="1" applyBorder="1" applyAlignment="1" applyProtection="1">
      <alignment vertical="top"/>
      <protection locked="0"/>
    </xf>
    <xf numFmtId="0" fontId="8" fillId="0" borderId="1" xfId="0" applyNumberFormat="1" applyFont="1" applyBorder="1" applyAlignment="1" applyProtection="1">
      <alignment vertical="top" wrapText="1"/>
      <protection locked="0"/>
    </xf>
    <xf numFmtId="0" fontId="6" fillId="0" borderId="0" xfId="0" applyFont="1" applyAlignment="1">
      <alignment vertical="top" wrapText="1"/>
    </xf>
    <xf numFmtId="0" fontId="9" fillId="0" borderId="0" xfId="0" applyFont="1" applyBorder="1" applyAlignment="1" applyProtection="1">
      <alignment horizontal="center"/>
      <protection locked="0"/>
    </xf>
    <xf numFmtId="0" fontId="9" fillId="0" borderId="4" xfId="0" applyFont="1" applyBorder="1" applyAlignment="1" applyProtection="1">
      <alignment horizontal="center"/>
      <protection locked="0"/>
    </xf>
    <xf numFmtId="0" fontId="36" fillId="0" borderId="0" xfId="0" applyFont="1" applyBorder="1" applyAlignment="1" applyProtection="1">
      <alignment horizontal="center" vertical="top" wrapText="1"/>
      <protection locked="0"/>
    </xf>
    <xf numFmtId="0" fontId="36" fillId="0" borderId="0" xfId="0" applyFont="1" applyBorder="1" applyAlignment="1" applyProtection="1">
      <alignment vertical="top" wrapText="1"/>
      <protection locked="0"/>
    </xf>
    <xf numFmtId="0" fontId="6" fillId="0" borderId="1" xfId="0" applyFont="1" applyFill="1" applyBorder="1" applyAlignment="1">
      <alignment/>
    </xf>
    <xf numFmtId="0" fontId="8" fillId="0" borderId="1" xfId="0" applyFont="1" applyFill="1" applyBorder="1" applyAlignment="1" applyProtection="1">
      <alignment vertical="top"/>
      <protection locked="0"/>
    </xf>
    <xf numFmtId="0" fontId="8" fillId="0" borderId="1" xfId="0" applyNumberFormat="1" applyFont="1" applyFill="1" applyBorder="1" applyAlignment="1" applyProtection="1">
      <alignment vertical="top" wrapText="1"/>
      <protection locked="0"/>
    </xf>
    <xf numFmtId="0" fontId="6" fillId="0" borderId="0" xfId="0" applyFont="1" applyFill="1" applyAlignment="1">
      <alignment vertical="top" wrapText="1"/>
    </xf>
    <xf numFmtId="0" fontId="8" fillId="0" borderId="1" xfId="0" applyNumberFormat="1" applyFont="1" applyFill="1" applyBorder="1" applyAlignment="1" applyProtection="1">
      <alignment wrapText="1"/>
      <protection/>
    </xf>
    <xf numFmtId="0" fontId="9" fillId="0" borderId="1" xfId="0" applyFont="1" applyFill="1" applyBorder="1" applyAlignment="1" applyProtection="1">
      <alignment horizontal="center"/>
      <protection locked="0"/>
    </xf>
    <xf numFmtId="0" fontId="9" fillId="0" borderId="1" xfId="0" applyFont="1" applyFill="1" applyBorder="1" applyAlignment="1" applyProtection="1">
      <alignment/>
      <protection locked="0"/>
    </xf>
    <xf numFmtId="0" fontId="9" fillId="0" borderId="8" xfId="0" applyFont="1" applyFill="1" applyBorder="1" applyAlignment="1" applyProtection="1">
      <alignment/>
      <protection locked="0"/>
    </xf>
    <xf numFmtId="0" fontId="8" fillId="0" borderId="11" xfId="0" applyNumberFormat="1" applyFont="1" applyFill="1" applyBorder="1" applyAlignment="1" applyProtection="1">
      <alignment wrapText="1"/>
      <protection locked="0"/>
    </xf>
    <xf numFmtId="0" fontId="8" fillId="0" borderId="4" xfId="0" applyFont="1" applyFill="1" applyBorder="1" applyAlignment="1" applyProtection="1">
      <alignment/>
      <protection locked="0"/>
    </xf>
    <xf numFmtId="0" fontId="8" fillId="0" borderId="4" xfId="0" applyNumberFormat="1" applyFont="1" applyFill="1" applyBorder="1" applyAlignment="1" applyProtection="1">
      <alignment wrapText="1"/>
      <protection locked="0"/>
    </xf>
    <xf numFmtId="0" fontId="9" fillId="0" borderId="4" xfId="0" applyFont="1" applyFill="1" applyBorder="1" applyAlignment="1" applyProtection="1">
      <alignment horizontal="center"/>
      <protection locked="0"/>
    </xf>
    <xf numFmtId="0" fontId="8" fillId="0" borderId="12" xfId="0" applyNumberFormat="1" applyFont="1" applyFill="1" applyBorder="1" applyAlignment="1" applyProtection="1">
      <alignment wrapText="1"/>
      <protection locked="0"/>
    </xf>
    <xf numFmtId="0" fontId="8" fillId="0" borderId="1" xfId="0" applyFont="1" applyFill="1" applyBorder="1" applyAlignment="1" applyProtection="1">
      <alignment/>
      <protection locked="0"/>
    </xf>
    <xf numFmtId="0" fontId="8" fillId="0" borderId="1" xfId="0" applyNumberFormat="1" applyFont="1" applyFill="1" applyBorder="1" applyAlignment="1" applyProtection="1">
      <alignment wrapText="1"/>
      <protection locked="0"/>
    </xf>
    <xf numFmtId="0" fontId="0" fillId="0" borderId="4" xfId="0" applyFill="1" applyBorder="1" applyAlignment="1">
      <alignment/>
    </xf>
    <xf numFmtId="0" fontId="9" fillId="0" borderId="4" xfId="0" applyFont="1" applyFill="1" applyBorder="1" applyAlignment="1" applyProtection="1">
      <alignment/>
      <protection locked="0"/>
    </xf>
    <xf numFmtId="0" fontId="36" fillId="6" borderId="0" xfId="0" applyFont="1" applyFill="1" applyAlignment="1" applyProtection="1">
      <alignment horizontal="left" vertical="top" wrapText="1"/>
      <protection locked="0"/>
    </xf>
    <xf numFmtId="0" fontId="30" fillId="6" borderId="0" xfId="0" applyFont="1" applyFill="1" applyAlignment="1" applyProtection="1">
      <alignment horizontal="left" vertical="top" wrapText="1"/>
      <protection locked="0"/>
    </xf>
    <xf numFmtId="37" fontId="36" fillId="6" borderId="0" xfId="0" applyNumberFormat="1" applyFont="1" applyFill="1" applyBorder="1" applyAlignment="1" applyProtection="1">
      <alignment horizontal="center" vertical="top" wrapText="1"/>
      <protection locked="0"/>
    </xf>
    <xf numFmtId="0" fontId="36" fillId="6" borderId="0" xfId="0" applyFont="1" applyFill="1" applyAlignment="1" applyProtection="1">
      <alignment horizontal="center" vertical="top"/>
      <protection locked="0"/>
    </xf>
    <xf numFmtId="0" fontId="36" fillId="6" borderId="0" xfId="0" applyFont="1" applyFill="1" applyBorder="1" applyAlignment="1" applyProtection="1">
      <alignment horizontal="left" vertical="top" wrapText="1"/>
      <protection locked="0"/>
    </xf>
    <xf numFmtId="0" fontId="36" fillId="6" borderId="0" xfId="0" applyFont="1" applyFill="1" applyAlignment="1" applyProtection="1">
      <alignment horizontal="center" vertical="top" wrapText="1"/>
      <protection locked="0"/>
    </xf>
    <xf numFmtId="0" fontId="36" fillId="6" borderId="0" xfId="0" applyNumberFormat="1" applyFont="1" applyFill="1" applyBorder="1" applyAlignment="1" applyProtection="1">
      <alignment horizontal="left" vertical="top" wrapText="1"/>
      <protection locked="0"/>
    </xf>
    <xf numFmtId="0" fontId="36" fillId="6" borderId="0" xfId="0" applyNumberFormat="1" applyFont="1" applyFill="1" applyAlignment="1" applyProtection="1">
      <alignment horizontal="left" vertical="top" wrapText="1"/>
      <protection locked="0"/>
    </xf>
    <xf numFmtId="0" fontId="0" fillId="2" borderId="0" xfId="0" applyFont="1" applyFill="1" applyAlignment="1">
      <alignment horizontal="left" wrapText="1"/>
    </xf>
    <xf numFmtId="0" fontId="10" fillId="2" borderId="0" xfId="0" applyFont="1" applyFill="1" applyAlignment="1">
      <alignment horizontal="left" vertical="top" wrapText="1"/>
    </xf>
    <xf numFmtId="0" fontId="0" fillId="2" borderId="0" xfId="0" applyFont="1" applyFill="1" applyAlignment="1">
      <alignment horizontal="left" vertical="top" wrapText="1"/>
    </xf>
    <xf numFmtId="0" fontId="10" fillId="2" borderId="0" xfId="0" applyFont="1" applyFill="1" applyAlignment="1">
      <alignment horizontal="left" wrapText="1"/>
    </xf>
    <xf numFmtId="0" fontId="0" fillId="2" borderId="0" xfId="0" applyFill="1" applyAlignment="1">
      <alignment horizontal="left" wrapText="1"/>
    </xf>
    <xf numFmtId="0" fontId="1" fillId="2" borderId="0" xfId="0" applyFont="1" applyFill="1" applyAlignment="1">
      <alignment horizontal="center"/>
    </xf>
    <xf numFmtId="0" fontId="0" fillId="0" borderId="0" xfId="0" applyAlignment="1">
      <alignment horizontal="center"/>
    </xf>
    <xf numFmtId="0" fontId="0" fillId="2" borderId="0" xfId="0" applyFont="1" applyFill="1" applyAlignment="1">
      <alignment horizontal="center" vertical="top" wrapText="1"/>
    </xf>
    <xf numFmtId="0" fontId="0" fillId="2" borderId="0" xfId="0" applyNumberFormat="1" applyFont="1" applyFill="1" applyAlignment="1">
      <alignment horizontal="left" vertical="top" wrapText="1"/>
    </xf>
    <xf numFmtId="0" fontId="11" fillId="0" borderId="0" xfId="0" applyFont="1" applyFill="1" applyAlignment="1">
      <alignment horizontal="left" vertical="top" wrapText="1"/>
    </xf>
    <xf numFmtId="0" fontId="1" fillId="0" borderId="0" xfId="0" applyFont="1" applyAlignment="1" applyProtection="1">
      <alignment horizontal="center"/>
      <protection/>
    </xf>
    <xf numFmtId="0" fontId="0" fillId="0" borderId="0" xfId="0" applyAlignment="1">
      <alignment/>
    </xf>
    <xf numFmtId="171" fontId="1" fillId="0" borderId="0" xfId="0" applyNumberFormat="1" applyFont="1" applyAlignment="1" applyProtection="1">
      <alignment horizontal="center"/>
      <protection/>
    </xf>
    <xf numFmtId="0" fontId="6" fillId="0" borderId="0" xfId="0" applyFon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mb.gov/part/"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M58"/>
  <sheetViews>
    <sheetView tabSelected="1" workbookViewId="0" topLeftCell="A1">
      <selection activeCell="A1" sqref="A1:L1"/>
    </sheetView>
  </sheetViews>
  <sheetFormatPr defaultColWidth="9.140625" defaultRowHeight="12.75"/>
  <cols>
    <col min="1" max="2" width="7.140625" style="8" customWidth="1"/>
    <col min="3" max="3" width="11.140625" style="8" customWidth="1"/>
    <col min="4" max="16384" width="9.140625" style="8" customWidth="1"/>
  </cols>
  <sheetData>
    <row r="1" spans="1:12" ht="15.75">
      <c r="A1" s="269" t="s">
        <v>404</v>
      </c>
      <c r="B1" s="270"/>
      <c r="C1" s="270"/>
      <c r="D1" s="270"/>
      <c r="E1" s="270"/>
      <c r="F1" s="270"/>
      <c r="G1" s="270"/>
      <c r="H1" s="270"/>
      <c r="I1" s="270"/>
      <c r="J1" s="270"/>
      <c r="K1" s="270"/>
      <c r="L1" s="270"/>
    </row>
    <row r="2" spans="1:6" ht="15.75">
      <c r="A2" s="7"/>
      <c r="F2" s="9" t="s">
        <v>1062</v>
      </c>
    </row>
    <row r="3" spans="1:6" ht="15.75">
      <c r="A3" s="7"/>
      <c r="F3" s="9"/>
    </row>
    <row r="4" ht="12.75">
      <c r="A4" s="9" t="s">
        <v>1063</v>
      </c>
    </row>
    <row r="5" spans="1:8" ht="12.75">
      <c r="A5" s="85" t="s">
        <v>793</v>
      </c>
      <c r="H5" s="87"/>
    </row>
    <row r="6" ht="12.75">
      <c r="A6" s="85"/>
    </row>
    <row r="7" spans="1:2" ht="12.75">
      <c r="A7" s="85"/>
      <c r="B7" s="89" t="s">
        <v>1064</v>
      </c>
    </row>
    <row r="8" spans="1:13" ht="29.25" customHeight="1">
      <c r="A8" s="12"/>
      <c r="D8" s="264" t="s">
        <v>1065</v>
      </c>
      <c r="E8" s="264"/>
      <c r="F8" s="264"/>
      <c r="G8" s="264"/>
      <c r="H8" s="264"/>
      <c r="I8" s="264"/>
      <c r="J8" s="264"/>
      <c r="K8" s="264"/>
      <c r="L8" s="264"/>
      <c r="M8" s="264"/>
    </row>
    <row r="9" ht="8.25" customHeight="1"/>
    <row r="10" ht="12.75">
      <c r="B10" s="89" t="s">
        <v>143</v>
      </c>
    </row>
    <row r="11" ht="6" customHeight="1"/>
    <row r="12" spans="2:13" ht="33.75" customHeight="1">
      <c r="B12" s="14" t="s">
        <v>888</v>
      </c>
      <c r="D12" s="265" t="s">
        <v>858</v>
      </c>
      <c r="E12" s="266"/>
      <c r="F12" s="266"/>
      <c r="G12" s="266"/>
      <c r="H12" s="266"/>
      <c r="I12" s="266"/>
      <c r="J12" s="266"/>
      <c r="K12" s="266"/>
      <c r="L12" s="266"/>
      <c r="M12" s="266"/>
    </row>
    <row r="13" spans="2:13" ht="57" customHeight="1">
      <c r="B13" s="14"/>
      <c r="D13" s="273" t="s">
        <v>472</v>
      </c>
      <c r="E13" s="273"/>
      <c r="F13" s="273"/>
      <c r="G13" s="273"/>
      <c r="H13" s="273"/>
      <c r="I13" s="273"/>
      <c r="J13" s="273"/>
      <c r="K13" s="273"/>
      <c r="L13" s="273"/>
      <c r="M13" s="273"/>
    </row>
    <row r="14" spans="2:13" ht="12.75">
      <c r="B14" s="14"/>
      <c r="D14" s="265" t="s">
        <v>1087</v>
      </c>
      <c r="E14" s="266"/>
      <c r="F14" s="266"/>
      <c r="G14" s="266"/>
      <c r="H14" s="266"/>
      <c r="I14" s="266"/>
      <c r="J14" s="266"/>
      <c r="K14" s="266"/>
      <c r="L14" s="266"/>
      <c r="M14" s="266"/>
    </row>
    <row r="15" spans="2:13" ht="12.75">
      <c r="B15" s="14"/>
      <c r="D15" s="265" t="s">
        <v>1088</v>
      </c>
      <c r="E15" s="266"/>
      <c r="F15" s="266"/>
      <c r="G15" s="266"/>
      <c r="H15" s="266"/>
      <c r="I15" s="266"/>
      <c r="J15" s="266"/>
      <c r="K15" s="266"/>
      <c r="L15" s="266"/>
      <c r="M15" s="266"/>
    </row>
    <row r="16" spans="2:13" ht="12.75">
      <c r="B16" s="14"/>
      <c r="D16" s="265" t="s">
        <v>1089</v>
      </c>
      <c r="E16" s="266"/>
      <c r="F16" s="266"/>
      <c r="G16" s="266"/>
      <c r="H16" s="266"/>
      <c r="I16" s="266"/>
      <c r="J16" s="266"/>
      <c r="K16" s="266"/>
      <c r="L16" s="266"/>
      <c r="M16" s="266"/>
    </row>
    <row r="17" spans="2:13" ht="18.75" customHeight="1">
      <c r="B17" s="14"/>
      <c r="D17" s="265" t="s">
        <v>794</v>
      </c>
      <c r="E17" s="266"/>
      <c r="F17" s="266"/>
      <c r="G17" s="266"/>
      <c r="H17" s="266"/>
      <c r="I17" s="266"/>
      <c r="J17" s="266"/>
      <c r="K17" s="266"/>
      <c r="L17" s="266"/>
      <c r="M17" s="266"/>
    </row>
    <row r="18" spans="2:13" ht="51.75" customHeight="1">
      <c r="B18" s="14" t="s">
        <v>1746</v>
      </c>
      <c r="D18" s="272" t="s">
        <v>504</v>
      </c>
      <c r="E18" s="272"/>
      <c r="F18" s="272"/>
      <c r="G18" s="272"/>
      <c r="H18" s="272"/>
      <c r="I18" s="272"/>
      <c r="J18" s="272"/>
      <c r="K18" s="272"/>
      <c r="L18" s="272"/>
      <c r="M18" s="272"/>
    </row>
    <row r="19" ht="6" customHeight="1"/>
    <row r="20" spans="2:12" ht="17.25" customHeight="1">
      <c r="B20" s="14" t="s">
        <v>408</v>
      </c>
      <c r="D20" s="271" t="s">
        <v>271</v>
      </c>
      <c r="E20" s="271"/>
      <c r="F20" s="271"/>
      <c r="G20" s="271"/>
      <c r="H20" s="271"/>
      <c r="I20" s="271"/>
      <c r="J20" s="271"/>
      <c r="K20" s="271"/>
      <c r="L20" s="271"/>
    </row>
    <row r="21" spans="4:10" ht="5.25" customHeight="1">
      <c r="D21" s="16"/>
      <c r="E21" s="16"/>
      <c r="F21" s="16"/>
      <c r="G21" s="16"/>
      <c r="H21" s="16"/>
      <c r="I21" s="16"/>
      <c r="J21" s="16"/>
    </row>
    <row r="22" spans="4:13" ht="27" customHeight="1">
      <c r="D22" s="266" t="s">
        <v>410</v>
      </c>
      <c r="E22" s="266"/>
      <c r="F22" s="266"/>
      <c r="G22" s="266"/>
      <c r="H22" s="266"/>
      <c r="I22" s="266"/>
      <c r="J22" s="266"/>
      <c r="K22" s="266"/>
      <c r="L22" s="266"/>
      <c r="M22" s="266"/>
    </row>
    <row r="23" spans="4:10" ht="5.25" customHeight="1">
      <c r="D23" s="15"/>
      <c r="E23" s="15"/>
      <c r="F23" s="15"/>
      <c r="G23" s="15"/>
      <c r="H23" s="15"/>
      <c r="I23" s="15"/>
      <c r="J23" s="15"/>
    </row>
    <row r="24" spans="2:13" ht="29.25" customHeight="1">
      <c r="B24" s="14" t="s">
        <v>409</v>
      </c>
      <c r="D24" s="266" t="s">
        <v>305</v>
      </c>
      <c r="E24" s="266"/>
      <c r="F24" s="266"/>
      <c r="G24" s="266"/>
      <c r="H24" s="266"/>
      <c r="I24" s="266"/>
      <c r="J24" s="266"/>
      <c r="K24" s="266"/>
      <c r="L24" s="266"/>
      <c r="M24" s="266"/>
    </row>
    <row r="25" spans="4:10" ht="5.25" customHeight="1">
      <c r="D25" s="16"/>
      <c r="E25" s="16"/>
      <c r="F25" s="16"/>
      <c r="G25" s="16"/>
      <c r="H25" s="16"/>
      <c r="I25" s="16"/>
      <c r="J25" s="16"/>
    </row>
    <row r="26" spans="4:13" ht="16.5" customHeight="1">
      <c r="D26" s="266" t="s">
        <v>410</v>
      </c>
      <c r="E26" s="266"/>
      <c r="F26" s="266"/>
      <c r="G26" s="266"/>
      <c r="H26" s="266"/>
      <c r="I26" s="266"/>
      <c r="J26" s="266"/>
      <c r="K26" s="266"/>
      <c r="L26" s="266"/>
      <c r="M26" s="266"/>
    </row>
    <row r="27" spans="4:10" ht="5.25" customHeight="1">
      <c r="D27" s="15"/>
      <c r="E27" s="15"/>
      <c r="F27" s="15"/>
      <c r="G27" s="15"/>
      <c r="H27" s="15"/>
      <c r="I27" s="15"/>
      <c r="J27" s="15"/>
    </row>
    <row r="28" spans="4:12" ht="13.5" customHeight="1">
      <c r="D28" s="88" t="s">
        <v>411</v>
      </c>
      <c r="E28" s="88"/>
      <c r="F28" s="88"/>
      <c r="G28" s="88"/>
      <c r="H28" s="88"/>
      <c r="I28" s="88"/>
      <c r="J28" s="88"/>
      <c r="K28" s="88"/>
      <c r="L28" s="88"/>
    </row>
    <row r="30" spans="2:4" ht="12.75">
      <c r="B30" s="89" t="s">
        <v>144</v>
      </c>
      <c r="D30" s="9" t="s">
        <v>1094</v>
      </c>
    </row>
    <row r="31" spans="2:4" ht="12.75">
      <c r="B31" s="89"/>
      <c r="D31" s="8" t="s">
        <v>306</v>
      </c>
    </row>
    <row r="32" spans="2:4" ht="12.75">
      <c r="B32" s="89"/>
      <c r="D32" s="8" t="s">
        <v>307</v>
      </c>
    </row>
    <row r="33" spans="3:4" ht="12.75">
      <c r="C33" s="90"/>
      <c r="D33" s="8" t="s">
        <v>308</v>
      </c>
    </row>
    <row r="34" spans="2:4" ht="12.75">
      <c r="B34" s="89"/>
      <c r="C34" s="90"/>
      <c r="D34" s="8" t="s">
        <v>1093</v>
      </c>
    </row>
    <row r="35" spans="2:3" ht="12.75">
      <c r="B35" s="89"/>
      <c r="C35" s="90"/>
    </row>
    <row r="36" spans="2:13" ht="24" customHeight="1">
      <c r="B36" s="89"/>
      <c r="C36" s="90"/>
      <c r="D36" s="267" t="s">
        <v>309</v>
      </c>
      <c r="E36" s="267"/>
      <c r="F36" s="267"/>
      <c r="G36" s="267"/>
      <c r="H36" s="267"/>
      <c r="I36" s="267"/>
      <c r="J36" s="267"/>
      <c r="K36" s="267"/>
      <c r="L36" s="267"/>
      <c r="M36" s="267"/>
    </row>
    <row r="37" spans="4:13" ht="12.75">
      <c r="D37" s="265" t="s">
        <v>1095</v>
      </c>
      <c r="E37" s="266"/>
      <c r="F37" s="266"/>
      <c r="G37" s="266"/>
      <c r="H37" s="266"/>
      <c r="I37" s="266"/>
      <c r="J37" s="266"/>
      <c r="K37" s="266"/>
      <c r="L37" s="266"/>
      <c r="M37" s="266"/>
    </row>
    <row r="38" spans="4:13" ht="25.5" customHeight="1">
      <c r="D38" s="265" t="s">
        <v>310</v>
      </c>
      <c r="E38" s="265"/>
      <c r="F38" s="265"/>
      <c r="G38" s="265"/>
      <c r="H38" s="265"/>
      <c r="I38" s="265"/>
      <c r="J38" s="265"/>
      <c r="K38" s="265"/>
      <c r="L38" s="265"/>
      <c r="M38" s="265"/>
    </row>
    <row r="39" spans="4:13" ht="42.75" customHeight="1">
      <c r="D39" s="265" t="s">
        <v>311</v>
      </c>
      <c r="E39" s="266"/>
      <c r="F39" s="266"/>
      <c r="G39" s="266"/>
      <c r="H39" s="266"/>
      <c r="I39" s="266"/>
      <c r="J39" s="266"/>
      <c r="K39" s="266"/>
      <c r="L39" s="266"/>
      <c r="M39" s="266"/>
    </row>
    <row r="40" spans="4:13" ht="98.25" customHeight="1">
      <c r="D40" s="265" t="s">
        <v>1096</v>
      </c>
      <c r="E40" s="266"/>
      <c r="F40" s="266"/>
      <c r="G40" s="266"/>
      <c r="H40" s="266"/>
      <c r="I40" s="266"/>
      <c r="J40" s="266"/>
      <c r="K40" s="266"/>
      <c r="L40" s="266"/>
      <c r="M40" s="266"/>
    </row>
    <row r="41" spans="4:13" ht="56.25" customHeight="1">
      <c r="D41" s="265" t="s">
        <v>1654</v>
      </c>
      <c r="E41" s="266"/>
      <c r="F41" s="266"/>
      <c r="G41" s="266"/>
      <c r="H41" s="266"/>
      <c r="I41" s="266"/>
      <c r="J41" s="266"/>
      <c r="K41" s="266"/>
      <c r="L41" s="266"/>
      <c r="M41" s="266"/>
    </row>
    <row r="42" spans="4:13" ht="90.75" customHeight="1">
      <c r="D42" s="265" t="s">
        <v>1057</v>
      </c>
      <c r="E42" s="266"/>
      <c r="F42" s="266"/>
      <c r="G42" s="266"/>
      <c r="H42" s="266"/>
      <c r="I42" s="266"/>
      <c r="J42" s="266"/>
      <c r="K42" s="266"/>
      <c r="L42" s="266"/>
      <c r="M42" s="266"/>
    </row>
    <row r="44" ht="12.75">
      <c r="B44" s="89" t="s">
        <v>145</v>
      </c>
    </row>
    <row r="45" spans="2:13" ht="36" customHeight="1">
      <c r="B45" s="89"/>
      <c r="D45" s="267" t="s">
        <v>1058</v>
      </c>
      <c r="E45" s="268"/>
      <c r="F45" s="268"/>
      <c r="G45" s="268"/>
      <c r="H45" s="268"/>
      <c r="I45" s="268"/>
      <c r="J45" s="268"/>
      <c r="K45" s="268"/>
      <c r="L45" s="268"/>
      <c r="M45" s="268"/>
    </row>
    <row r="46" spans="4:13" ht="55.5" customHeight="1">
      <c r="D46" s="267" t="s">
        <v>1059</v>
      </c>
      <c r="E46" s="264"/>
      <c r="F46" s="264"/>
      <c r="G46" s="264"/>
      <c r="H46" s="264"/>
      <c r="I46" s="264"/>
      <c r="J46" s="264"/>
      <c r="K46" s="264"/>
      <c r="L46" s="264"/>
      <c r="M46" s="264"/>
    </row>
    <row r="47" spans="4:13" ht="56.25" customHeight="1">
      <c r="D47" s="267" t="s">
        <v>1060</v>
      </c>
      <c r="E47" s="264"/>
      <c r="F47" s="264"/>
      <c r="G47" s="264"/>
      <c r="H47" s="264"/>
      <c r="I47" s="264"/>
      <c r="J47" s="264"/>
      <c r="K47" s="264"/>
      <c r="L47" s="264"/>
      <c r="M47" s="264"/>
    </row>
    <row r="48" ht="12.75">
      <c r="B48" s="10"/>
    </row>
    <row r="49" ht="12.75">
      <c r="B49" s="89" t="s">
        <v>1142</v>
      </c>
    </row>
    <row r="50" ht="4.5" customHeight="1"/>
    <row r="51" spans="4:13" ht="31.5" customHeight="1">
      <c r="D51" s="264" t="s">
        <v>1061</v>
      </c>
      <c r="E51" s="264"/>
      <c r="F51" s="264"/>
      <c r="G51" s="264"/>
      <c r="H51" s="264"/>
      <c r="I51" s="264"/>
      <c r="J51" s="264"/>
      <c r="K51" s="264"/>
      <c r="L51" s="264"/>
      <c r="M51" s="264"/>
    </row>
    <row r="52" spans="4:10" ht="15.75" customHeight="1">
      <c r="D52" s="11"/>
      <c r="E52" s="11"/>
      <c r="F52" s="11"/>
      <c r="G52" s="11"/>
      <c r="H52" s="11"/>
      <c r="I52" s="11"/>
      <c r="J52" s="11"/>
    </row>
    <row r="53" spans="4:10" ht="12.75">
      <c r="D53" s="11"/>
      <c r="E53" s="11"/>
      <c r="F53" s="11"/>
      <c r="G53" s="11"/>
      <c r="H53" s="11"/>
      <c r="I53" s="11"/>
      <c r="J53" s="11"/>
    </row>
    <row r="54" ht="12.75">
      <c r="A54" s="12" t="s">
        <v>405</v>
      </c>
    </row>
    <row r="55" spans="2:13" ht="12.75" customHeight="1">
      <c r="B55" s="268" t="s">
        <v>738</v>
      </c>
      <c r="C55" s="268"/>
      <c r="D55" s="268"/>
      <c r="E55" s="268"/>
      <c r="F55" s="268"/>
      <c r="G55" s="268"/>
      <c r="H55" s="268"/>
      <c r="I55" s="268"/>
      <c r="J55" s="268"/>
      <c r="K55" s="268"/>
      <c r="L55" s="268"/>
      <c r="M55" s="268"/>
    </row>
    <row r="56" spans="2:13" ht="45" customHeight="1">
      <c r="B56" s="268"/>
      <c r="C56" s="268"/>
      <c r="D56" s="268"/>
      <c r="E56" s="268"/>
      <c r="F56" s="268"/>
      <c r="G56" s="268"/>
      <c r="H56" s="268"/>
      <c r="I56" s="268"/>
      <c r="J56" s="268"/>
      <c r="K56" s="268"/>
      <c r="L56" s="268"/>
      <c r="M56" s="268"/>
    </row>
    <row r="57" spans="2:13" ht="16.5" customHeight="1">
      <c r="B57" s="268" t="s">
        <v>1216</v>
      </c>
      <c r="C57" s="268"/>
      <c r="D57" s="268"/>
      <c r="E57" s="268"/>
      <c r="F57" s="268"/>
      <c r="G57" s="268"/>
      <c r="H57" s="268"/>
      <c r="I57" s="268"/>
      <c r="J57" s="268"/>
      <c r="K57" s="268"/>
      <c r="L57" s="268"/>
      <c r="M57" s="268"/>
    </row>
    <row r="58" spans="2:13" ht="56.25" customHeight="1">
      <c r="B58" s="268" t="s">
        <v>446</v>
      </c>
      <c r="C58" s="268"/>
      <c r="D58" s="268"/>
      <c r="E58" s="268"/>
      <c r="F58" s="268"/>
      <c r="G58" s="268"/>
      <c r="H58" s="268"/>
      <c r="I58" s="268"/>
      <c r="J58" s="268"/>
      <c r="K58" s="268"/>
      <c r="L58" s="268"/>
      <c r="M58" s="268"/>
    </row>
  </sheetData>
  <sheetProtection formatCells="0" formatColumns="0" formatRows="0" insertColumns="0" insertRows="0"/>
  <mergeCells count="27">
    <mergeCell ref="D26:M26"/>
    <mergeCell ref="D24:M24"/>
    <mergeCell ref="B58:M58"/>
    <mergeCell ref="B57:M57"/>
    <mergeCell ref="B55:M56"/>
    <mergeCell ref="D47:M47"/>
    <mergeCell ref="D51:M51"/>
    <mergeCell ref="A1:L1"/>
    <mergeCell ref="D20:L20"/>
    <mergeCell ref="D41:M41"/>
    <mergeCell ref="D22:M22"/>
    <mergeCell ref="D18:M18"/>
    <mergeCell ref="D13:M13"/>
    <mergeCell ref="D12:M12"/>
    <mergeCell ref="D37:M37"/>
    <mergeCell ref="D14:M14"/>
    <mergeCell ref="D15:M15"/>
    <mergeCell ref="D8:M8"/>
    <mergeCell ref="D39:M39"/>
    <mergeCell ref="D46:M46"/>
    <mergeCell ref="D45:M45"/>
    <mergeCell ref="D40:M40"/>
    <mergeCell ref="D42:M42"/>
    <mergeCell ref="D16:M16"/>
    <mergeCell ref="D17:M17"/>
    <mergeCell ref="D36:M36"/>
    <mergeCell ref="D38:M38"/>
  </mergeCells>
  <hyperlinks>
    <hyperlink ref="A5" r:id="rId1" display="http://www.omb.gov/part/"/>
  </hyperlinks>
  <printOptions/>
  <pageMargins left="0.75" right="0.75" top="1" bottom="1" header="0.5" footer="0.5"/>
  <pageSetup horizontalDpi="600" verticalDpi="600" orientation="landscape" r:id="rId4"/>
  <headerFooter alignWithMargins="0">
    <oddFooter>&amp;C&amp;P&amp;R&amp;"Arial,Bold"FY  2005 Budget
</oddFooter>
  </headerFooter>
  <legacyDrawing r:id="rId3"/>
</worksheet>
</file>

<file path=xl/worksheets/sheet2.xml><?xml version="1.0" encoding="utf-8"?>
<worksheet xmlns="http://schemas.openxmlformats.org/spreadsheetml/2006/main" xmlns:r="http://schemas.openxmlformats.org/officeDocument/2006/relationships">
  <sheetPr codeName="Sheet3">
    <pageSetUpPr fitToPage="1"/>
  </sheetPr>
  <dimension ref="A1:AB64"/>
  <sheetViews>
    <sheetView zoomScale="75" zoomScaleNormal="75" zoomScaleSheetLayoutView="100" workbookViewId="0" topLeftCell="B1">
      <selection activeCell="E36" sqref="E36"/>
    </sheetView>
  </sheetViews>
  <sheetFormatPr defaultColWidth="9.140625" defaultRowHeight="12.75"/>
  <cols>
    <col min="1" max="1" width="5.7109375" style="172" hidden="1" customWidth="1"/>
    <col min="2" max="2" width="24.00390625" style="172" customWidth="1"/>
    <col min="3" max="3" width="44.57421875" style="172" customWidth="1"/>
    <col min="4" max="4" width="11.57421875" style="218" customWidth="1"/>
    <col min="5" max="5" width="45.140625" style="172" customWidth="1"/>
    <col min="6" max="6" width="37.28125" style="172" customWidth="1"/>
    <col min="7" max="7" width="14.140625" style="172" customWidth="1"/>
    <col min="8" max="8" width="16.00390625" style="172" bestFit="1" customWidth="1"/>
    <col min="9" max="16384" width="9.140625" style="172" customWidth="1"/>
  </cols>
  <sheetData>
    <row r="1" spans="1:5" ht="15.75">
      <c r="A1" s="164"/>
      <c r="B1" s="171"/>
      <c r="E1" s="163" t="s">
        <v>1748</v>
      </c>
    </row>
    <row r="2" spans="1:8" ht="15.75">
      <c r="A2" s="172" t="s">
        <v>1751</v>
      </c>
      <c r="D2" s="219"/>
      <c r="E2" s="165"/>
      <c r="F2" s="164"/>
      <c r="G2" s="164"/>
      <c r="H2" s="164"/>
    </row>
    <row r="3" spans="1:8" ht="16.5" thickBot="1">
      <c r="A3" s="172" t="s">
        <v>1754</v>
      </c>
      <c r="D3" s="219"/>
      <c r="E3" s="165"/>
      <c r="F3" s="164"/>
      <c r="G3" s="164"/>
      <c r="H3" s="164"/>
    </row>
    <row r="4" spans="1:28" ht="16.5" thickBot="1">
      <c r="A4" s="172" t="s">
        <v>1762</v>
      </c>
      <c r="B4" s="166" t="s">
        <v>1749</v>
      </c>
      <c r="C4" s="167" t="s">
        <v>266</v>
      </c>
      <c r="D4" s="220"/>
      <c r="E4" s="167"/>
      <c r="F4" s="164"/>
      <c r="G4" s="164"/>
      <c r="H4" s="164"/>
      <c r="AA4" s="172">
        <v>1</v>
      </c>
      <c r="AB4" s="172" t="str">
        <f>IF(Program_Type_Primary=0,"",Program_Type_Primary)</f>
        <v>Block/Formula</v>
      </c>
    </row>
    <row r="5" spans="1:28" ht="16.5" thickBot="1">
      <c r="A5" s="172" t="s">
        <v>1762</v>
      </c>
      <c r="B5" s="166" t="s">
        <v>406</v>
      </c>
      <c r="C5" s="168" t="s">
        <v>586</v>
      </c>
      <c r="D5" s="221"/>
      <c r="F5" s="173"/>
      <c r="G5" s="173"/>
      <c r="H5" s="173"/>
      <c r="AA5" s="172">
        <v>2</v>
      </c>
      <c r="AB5" s="172">
        <f>IF(Program_Type_Secondary=0,"",Program_Type_Secondary)</f>
      </c>
    </row>
    <row r="6" spans="1:28" ht="16.5" thickBot="1">
      <c r="A6" s="172" t="s">
        <v>1762</v>
      </c>
      <c r="B6" s="166" t="s">
        <v>440</v>
      </c>
      <c r="C6" s="168"/>
      <c r="D6" s="222"/>
      <c r="E6" s="169"/>
      <c r="F6" s="173"/>
      <c r="G6" s="173"/>
      <c r="H6" s="173"/>
      <c r="AA6" s="172">
        <v>3</v>
      </c>
      <c r="AB6" s="172">
        <f>IF(Program_Type_Tertiary=0,"",Program_Type_Tertiary)</f>
      </c>
    </row>
    <row r="7" spans="1:8" ht="16.5" thickBot="1">
      <c r="A7" s="172" t="s">
        <v>1762</v>
      </c>
      <c r="B7" s="166" t="s">
        <v>1759</v>
      </c>
      <c r="C7" s="168" t="s">
        <v>533</v>
      </c>
      <c r="D7" s="223"/>
      <c r="E7" s="174"/>
      <c r="F7" s="173"/>
      <c r="G7" s="173"/>
      <c r="H7" s="173"/>
    </row>
    <row r="8" spans="1:8" ht="16.5" thickBot="1">
      <c r="A8" s="172" t="s">
        <v>1762</v>
      </c>
      <c r="B8" s="166" t="s">
        <v>1760</v>
      </c>
      <c r="C8" s="168" t="s">
        <v>587</v>
      </c>
      <c r="D8" s="223"/>
      <c r="E8" s="174"/>
      <c r="F8" s="173"/>
      <c r="G8" s="173"/>
      <c r="H8" s="173"/>
    </row>
    <row r="9" spans="1:8" ht="15.75">
      <c r="A9" s="172" t="s">
        <v>1762</v>
      </c>
      <c r="B9" s="166" t="s">
        <v>197</v>
      </c>
      <c r="C9" s="170">
        <v>2005</v>
      </c>
      <c r="D9" s="224"/>
      <c r="E9" s="175"/>
      <c r="F9" s="164"/>
      <c r="G9" s="164"/>
      <c r="H9" s="164"/>
    </row>
    <row r="10" spans="1:8" ht="18.75" customHeight="1">
      <c r="A10" s="172" t="s">
        <v>1754</v>
      </c>
      <c r="B10" s="176" t="s">
        <v>1262</v>
      </c>
      <c r="C10" s="177"/>
      <c r="D10" s="225"/>
      <c r="E10" s="178"/>
      <c r="F10" s="178"/>
      <c r="G10" s="179"/>
      <c r="H10" s="180"/>
    </row>
    <row r="11" spans="1:8" s="183" customFormat="1" ht="30.75" customHeight="1">
      <c r="A11" s="181" t="s">
        <v>1754</v>
      </c>
      <c r="B11" s="179" t="s">
        <v>1752</v>
      </c>
      <c r="C11" s="179" t="s">
        <v>401</v>
      </c>
      <c r="D11" s="216" t="s">
        <v>402</v>
      </c>
      <c r="E11" s="182" t="s">
        <v>412</v>
      </c>
      <c r="F11" s="182" t="s">
        <v>1747</v>
      </c>
      <c r="G11" s="179" t="s">
        <v>1128</v>
      </c>
      <c r="H11" s="179" t="s">
        <v>282</v>
      </c>
    </row>
    <row r="12" spans="1:8" ht="100.5" customHeight="1">
      <c r="A12" s="172" t="s">
        <v>1750</v>
      </c>
      <c r="B12" s="184">
        <v>1.1</v>
      </c>
      <c r="C12" s="185" t="s">
        <v>982</v>
      </c>
      <c r="D12" s="217" t="s">
        <v>588</v>
      </c>
      <c r="E12" s="186" t="s">
        <v>1217</v>
      </c>
      <c r="F12" s="186" t="s">
        <v>1115</v>
      </c>
      <c r="G12" s="187">
        <f>1/(COUNT(B12:B18))</f>
        <v>0.2</v>
      </c>
      <c r="H12" s="188">
        <f>IF(D12="yes",(1*G12),IF(D12="no",(0*G12),IF(AND(D12="NA",Weight_1.1&lt;&gt;0),"Question weighting should be zero for questions answered NA","")))</f>
        <v>0.2</v>
      </c>
    </row>
    <row r="13" spans="1:8" ht="208.5" customHeight="1">
      <c r="A13" s="172" t="s">
        <v>1750</v>
      </c>
      <c r="B13" s="184">
        <v>1.2</v>
      </c>
      <c r="C13" s="185" t="s">
        <v>510</v>
      </c>
      <c r="D13" s="217" t="s">
        <v>588</v>
      </c>
      <c r="E13" s="256" t="s">
        <v>829</v>
      </c>
      <c r="F13" s="186" t="s">
        <v>378</v>
      </c>
      <c r="G13" s="187">
        <f>1/(COUNT(B12:B18))</f>
        <v>0.2</v>
      </c>
      <c r="H13" s="188">
        <f>IF(D13="yes",(1*G13),IF(D13="no",(0*G13),IF(AND(D13="NA",Weight_1.2&lt;&gt;0),"Question weighting should be zero for questions answered NA","")))</f>
        <v>0.2</v>
      </c>
    </row>
    <row r="14" spans="1:8" ht="164.25" customHeight="1">
      <c r="A14" s="172" t="s">
        <v>1750</v>
      </c>
      <c r="B14" s="184">
        <v>1.3</v>
      </c>
      <c r="C14" s="185" t="s">
        <v>522</v>
      </c>
      <c r="D14" s="217" t="s">
        <v>588</v>
      </c>
      <c r="E14" s="186" t="s">
        <v>316</v>
      </c>
      <c r="F14" s="186" t="s">
        <v>1220</v>
      </c>
      <c r="G14" s="187">
        <f>1/(COUNT(B12:B18))</f>
        <v>0.2</v>
      </c>
      <c r="H14" s="188">
        <f>IF(D14="yes",(1*G14),IF(D14="no",(0*G14),IF(AND(D14="NA",Weight_1.3&lt;&gt;0),"Question weighting should be zero for questions answered NA","")))</f>
        <v>0.2</v>
      </c>
    </row>
    <row r="15" spans="1:8" ht="338.25" customHeight="1">
      <c r="A15" s="172" t="s">
        <v>1750</v>
      </c>
      <c r="B15" s="184">
        <v>1.4</v>
      </c>
      <c r="C15" s="185" t="s">
        <v>523</v>
      </c>
      <c r="D15" s="258" t="s">
        <v>1031</v>
      </c>
      <c r="E15" s="257" t="s">
        <v>830</v>
      </c>
      <c r="F15" s="186" t="s">
        <v>1301</v>
      </c>
      <c r="G15" s="187">
        <f>1/(COUNT(B12:B18))</f>
        <v>0.2</v>
      </c>
      <c r="H15" s="188">
        <f>IF(D15="yes",(1*G15),IF(D15="no",(0*G15),IF(AND(D15="NA",Weight_1.4&lt;&gt;0),"Question weighting should be zero for questions answered NA","")))</f>
        <v>0</v>
      </c>
    </row>
    <row r="16" spans="1:8" ht="132" customHeight="1">
      <c r="A16" s="172" t="s">
        <v>1750</v>
      </c>
      <c r="B16" s="184">
        <v>1.5</v>
      </c>
      <c r="C16" s="185" t="s">
        <v>524</v>
      </c>
      <c r="D16" s="217" t="s">
        <v>588</v>
      </c>
      <c r="E16" s="256" t="s">
        <v>831</v>
      </c>
      <c r="F16" s="186" t="s">
        <v>1218</v>
      </c>
      <c r="G16" s="187">
        <f>1/(COUNT(B12:B18))</f>
        <v>0.2</v>
      </c>
      <c r="H16" s="188">
        <f>IF(D16="yes",(1*G16),IF(D16="no",(0*G16),IF(AND(D16="NA",Weight_1.5&lt;&gt;0),"Question weighting should be zero for questions answered NA","")))</f>
        <v>0.2</v>
      </c>
    </row>
    <row r="17" spans="1:8" ht="15.75">
      <c r="A17" s="172" t="s">
        <v>1754</v>
      </c>
      <c r="C17" s="164"/>
      <c r="D17" s="226"/>
      <c r="E17" s="189"/>
      <c r="F17" s="189"/>
      <c r="G17" s="175"/>
      <c r="H17" s="188">
        <f>IF(D17="yes",(1*G17),IF(D17="no",(0*G17),IF(AND(D17="NA",Weight_1.1&gt;0),"Question weighting should be zero for questions answered NA","")))</f>
      </c>
    </row>
    <row r="18" spans="1:8" ht="15.75">
      <c r="A18" s="172" t="s">
        <v>1754</v>
      </c>
      <c r="B18" s="190"/>
      <c r="C18" s="191" t="s">
        <v>1091</v>
      </c>
      <c r="D18" s="227"/>
      <c r="E18" s="192"/>
      <c r="F18" s="192"/>
      <c r="G18" s="193">
        <f>IF(SUM(G12:G17)&lt;&gt;100%,"Not 100%",SUM(G12:G17))</f>
        <v>1</v>
      </c>
      <c r="H18" s="194">
        <f>IF(G18=100%,SUM(H12:H17),"Check Weights")</f>
        <v>0.8</v>
      </c>
    </row>
    <row r="19" spans="1:6" ht="15.75">
      <c r="A19" s="172" t="s">
        <v>1754</v>
      </c>
      <c r="C19" s="164"/>
      <c r="D19" s="209"/>
      <c r="E19" s="195"/>
      <c r="F19" s="195"/>
    </row>
    <row r="20" spans="1:8" ht="15.75">
      <c r="A20" s="172" t="s">
        <v>1754</v>
      </c>
      <c r="B20" s="176" t="s">
        <v>1263</v>
      </c>
      <c r="C20" s="178"/>
      <c r="D20" s="228"/>
      <c r="E20" s="196"/>
      <c r="F20" s="196"/>
      <c r="G20" s="197"/>
      <c r="H20" s="197"/>
    </row>
    <row r="21" spans="1:8" s="183" customFormat="1" ht="30.75" customHeight="1">
      <c r="A21" s="181" t="s">
        <v>1754</v>
      </c>
      <c r="B21" s="179" t="s">
        <v>1752</v>
      </c>
      <c r="C21" s="179" t="s">
        <v>401</v>
      </c>
      <c r="D21" s="216" t="s">
        <v>402</v>
      </c>
      <c r="E21" s="182" t="s">
        <v>412</v>
      </c>
      <c r="F21" s="182" t="s">
        <v>1747</v>
      </c>
      <c r="G21" s="179" t="s">
        <v>1128</v>
      </c>
      <c r="H21" s="179" t="s">
        <v>282</v>
      </c>
    </row>
    <row r="22" spans="1:8" ht="233.25" customHeight="1">
      <c r="A22" s="172" t="s">
        <v>1750</v>
      </c>
      <c r="B22" s="184">
        <v>2.1</v>
      </c>
      <c r="C22" s="185" t="s">
        <v>983</v>
      </c>
      <c r="D22" s="198" t="s">
        <v>588</v>
      </c>
      <c r="E22" s="256" t="s">
        <v>611</v>
      </c>
      <c r="F22" s="186" t="s">
        <v>1116</v>
      </c>
      <c r="G22" s="187">
        <f>1/(COUNT(B22:B32))</f>
        <v>0.125</v>
      </c>
      <c r="H22" s="188">
        <f>IF(D22="yes",(1*G22),IF(D22="no",(0*G22),IF(AND(D22="NA",Weight_2.1&lt;&gt;0),"Question weighting should be zero for questions answered NA","")))</f>
        <v>0.125</v>
      </c>
    </row>
    <row r="23" spans="1:8" ht="181.5" customHeight="1">
      <c r="A23" s="172" t="s">
        <v>1750</v>
      </c>
      <c r="B23" s="184">
        <v>2.2</v>
      </c>
      <c r="C23" s="185" t="s">
        <v>525</v>
      </c>
      <c r="D23" s="259" t="s">
        <v>1031</v>
      </c>
      <c r="E23" s="256" t="s">
        <v>141</v>
      </c>
      <c r="F23" s="186" t="s">
        <v>1117</v>
      </c>
      <c r="G23" s="187">
        <f>1/(COUNT(B22:B32))</f>
        <v>0.125</v>
      </c>
      <c r="H23" s="188">
        <f>IF(D23="yes",(1*G23),IF(D23="no",(0*G23),IF(AND(D23="NA",Weight_2.2&lt;&gt;0),"Question weighting should be zero for questions answered NA","")))</f>
        <v>0</v>
      </c>
    </row>
    <row r="24" spans="1:8" ht="142.5" customHeight="1">
      <c r="A24" s="172" t="s">
        <v>1750</v>
      </c>
      <c r="B24" s="184">
        <v>2.3</v>
      </c>
      <c r="C24" s="185" t="s">
        <v>526</v>
      </c>
      <c r="D24" s="198" t="s">
        <v>588</v>
      </c>
      <c r="E24" s="256" t="s">
        <v>603</v>
      </c>
      <c r="F24" s="186" t="s">
        <v>1118</v>
      </c>
      <c r="G24" s="187">
        <f>1/(COUNT(B22:B32))</f>
        <v>0.125</v>
      </c>
      <c r="H24" s="188">
        <f>IF(D24="yes",(1*G24),IF(D24="no",(0*G24),IF(AND(D24="NA",Weight_2.3&lt;&gt;0),"Question weighting should be zero for questions answered NA","")))</f>
        <v>0.125</v>
      </c>
    </row>
    <row r="25" spans="1:8" ht="158.25" customHeight="1" thickBot="1">
      <c r="A25" s="172" t="s">
        <v>1750</v>
      </c>
      <c r="B25" s="184">
        <v>2.4</v>
      </c>
      <c r="C25" s="185" t="s">
        <v>527</v>
      </c>
      <c r="D25" s="259" t="s">
        <v>1031</v>
      </c>
      <c r="E25" s="256" t="s">
        <v>1298</v>
      </c>
      <c r="F25" s="186" t="s">
        <v>1219</v>
      </c>
      <c r="G25" s="187">
        <f>1/(COUNT(B22:B32))</f>
        <v>0.125</v>
      </c>
      <c r="H25" s="188">
        <f>IF(D25="yes",(1*G25),IF(D25="no",(0*G25),IF(AND(D25="NA",Weight_2.4&lt;&gt;0),"Question weighting should be zero for questions answered NA","")))</f>
        <v>0</v>
      </c>
    </row>
    <row r="26" spans="1:8" ht="34.5" customHeight="1" thickBot="1">
      <c r="A26" s="172" t="s">
        <v>1754</v>
      </c>
      <c r="B26" s="199" t="s">
        <v>1027</v>
      </c>
      <c r="C26" s="200" t="s">
        <v>1034</v>
      </c>
      <c r="D26" s="201"/>
      <c r="E26" s="186"/>
      <c r="F26" s="186"/>
      <c r="G26" s="202"/>
      <c r="H26" s="188"/>
    </row>
    <row r="27" spans="1:8" ht="228.75" customHeight="1">
      <c r="A27" s="172" t="s">
        <v>1750</v>
      </c>
      <c r="B27" s="184">
        <v>2.5</v>
      </c>
      <c r="C27" s="185" t="s">
        <v>789</v>
      </c>
      <c r="D27" s="198" t="s">
        <v>588</v>
      </c>
      <c r="E27" s="256" t="s">
        <v>604</v>
      </c>
      <c r="F27" s="186" t="s">
        <v>605</v>
      </c>
      <c r="G27" s="187">
        <f>1/(COUNT(B22:B32))</f>
        <v>0.125</v>
      </c>
      <c r="H27" s="188">
        <f>IF(D27="yes",(1*G27),IF(D27="no",(0*G27),IF(AND(D27="NA",Weight_2.5&lt;&gt;0),"Question weighting should be zero for questions answered NA","")))</f>
        <v>0.125</v>
      </c>
    </row>
    <row r="28" spans="1:8" ht="94.5" customHeight="1">
      <c r="A28" s="172" t="s">
        <v>1750</v>
      </c>
      <c r="B28" s="184">
        <v>2.6</v>
      </c>
      <c r="C28" s="185" t="s">
        <v>790</v>
      </c>
      <c r="D28" s="198" t="s">
        <v>1031</v>
      </c>
      <c r="E28" s="186" t="s">
        <v>610</v>
      </c>
      <c r="F28" s="186" t="s">
        <v>1227</v>
      </c>
      <c r="G28" s="187">
        <f>1/(COUNT(B22:B32))</f>
        <v>0.125</v>
      </c>
      <c r="H28" s="188">
        <f>IF(D28="yes",(1*G28),IF(D28="no",(0*G28),IF(AND(D28="NA",Weight_2.6&lt;&gt;0),"Question weighting should be zero for questions answered NA","")))</f>
        <v>0</v>
      </c>
    </row>
    <row r="29" spans="1:8" ht="177.75" customHeight="1">
      <c r="A29" s="172" t="s">
        <v>1750</v>
      </c>
      <c r="B29" s="184">
        <v>2.7</v>
      </c>
      <c r="C29" s="185" t="s">
        <v>791</v>
      </c>
      <c r="D29" s="198" t="s">
        <v>1031</v>
      </c>
      <c r="E29" s="256" t="s">
        <v>606</v>
      </c>
      <c r="F29" s="186" t="s">
        <v>1228</v>
      </c>
      <c r="G29" s="187">
        <f>1/(COUNT(B22:B32))</f>
        <v>0.125</v>
      </c>
      <c r="H29" s="188">
        <f>IF(D29="yes",(1*G29),IF(D29="no",(0*G29),IF(AND(D29="NA",Weight_2.7&lt;&gt;0),"Question weighting should be zero for questions answered NA","")))</f>
        <v>0</v>
      </c>
    </row>
    <row r="30" spans="1:8" ht="168.75" customHeight="1">
      <c r="A30" s="172" t="s">
        <v>1750</v>
      </c>
      <c r="B30" s="184">
        <v>2.8</v>
      </c>
      <c r="C30" s="185" t="s">
        <v>792</v>
      </c>
      <c r="D30" s="259" t="s">
        <v>1031</v>
      </c>
      <c r="E30" s="256" t="s">
        <v>602</v>
      </c>
      <c r="F30" s="186" t="s">
        <v>1682</v>
      </c>
      <c r="G30" s="187">
        <f>1/(COUNT(B22:B32))</f>
        <v>0.125</v>
      </c>
      <c r="H30" s="188">
        <f>IF(D30="yes",(1*G30),IF(D30="no",(0*G30),IF(AND(D30="NA",Weight_2.8&lt;&gt;0),"Question weighting should be zero for questions answered NA","")))</f>
        <v>0</v>
      </c>
    </row>
    <row r="31" spans="1:7" ht="15.75">
      <c r="A31" s="172" t="s">
        <v>1754</v>
      </c>
      <c r="C31" s="164"/>
      <c r="D31" s="226"/>
      <c r="E31" s="189"/>
      <c r="F31" s="189"/>
      <c r="G31" s="175"/>
    </row>
    <row r="32" spans="1:8" ht="15.75">
      <c r="A32" s="172" t="s">
        <v>1754</v>
      </c>
      <c r="B32" s="190"/>
      <c r="C32" s="203" t="s">
        <v>1092</v>
      </c>
      <c r="D32" s="227"/>
      <c r="E32" s="192"/>
      <c r="F32" s="192"/>
      <c r="G32" s="193">
        <f>IF(SUM(G22:G31)&lt;&gt;100%,"Not 100%",SUM(G22:G31))</f>
        <v>1</v>
      </c>
      <c r="H32" s="194">
        <f>IF(G32=100%,SUM(H22:H31),"Check Weights")</f>
        <v>0.375</v>
      </c>
    </row>
    <row r="33" spans="1:8" s="183" customFormat="1" ht="15.75">
      <c r="A33" s="172" t="s">
        <v>1754</v>
      </c>
      <c r="B33" s="172"/>
      <c r="C33" s="164"/>
      <c r="D33" s="209"/>
      <c r="E33" s="195"/>
      <c r="F33" s="195"/>
      <c r="G33" s="172"/>
      <c r="H33" s="172"/>
    </row>
    <row r="34" spans="1:8" s="204" customFormat="1" ht="15.75">
      <c r="A34" s="172" t="s">
        <v>1754</v>
      </c>
      <c r="B34" s="176" t="s">
        <v>1264</v>
      </c>
      <c r="D34" s="228"/>
      <c r="E34" s="196"/>
      <c r="F34" s="196"/>
      <c r="G34" s="197"/>
      <c r="H34" s="197"/>
    </row>
    <row r="35" spans="1:8" ht="31.5">
      <c r="A35" s="181" t="s">
        <v>1754</v>
      </c>
      <c r="B35" s="179" t="s">
        <v>1752</v>
      </c>
      <c r="C35" s="179" t="s">
        <v>401</v>
      </c>
      <c r="D35" s="216" t="s">
        <v>402</v>
      </c>
      <c r="E35" s="182" t="s">
        <v>412</v>
      </c>
      <c r="F35" s="182" t="s">
        <v>1747</v>
      </c>
      <c r="G35" s="179" t="s">
        <v>1128</v>
      </c>
      <c r="H35" s="179" t="s">
        <v>282</v>
      </c>
    </row>
    <row r="36" spans="1:8" ht="215.25" customHeight="1">
      <c r="A36" s="172" t="s">
        <v>1750</v>
      </c>
      <c r="B36" s="184">
        <v>3.1</v>
      </c>
      <c r="C36" s="185" t="s">
        <v>1767</v>
      </c>
      <c r="D36" s="198" t="s">
        <v>588</v>
      </c>
      <c r="E36" s="256" t="s">
        <v>609</v>
      </c>
      <c r="F36" s="186" t="s">
        <v>1119</v>
      </c>
      <c r="G36" s="187">
        <f aca="true" t="shared" si="0" ref="G36:G43">1/9</f>
        <v>0.1111111111111111</v>
      </c>
      <c r="H36" s="188">
        <f>IF(D36="yes",(1*G36),IF(D36="no",(0*G36),IF(AND(D36="NA",Weight_3.1&lt;&gt;0),"Question weighting should be zero for questions answered NA","")))</f>
        <v>0.1111111111111111</v>
      </c>
    </row>
    <row r="37" spans="1:8" ht="124.5" customHeight="1">
      <c r="A37" s="172" t="s">
        <v>1750</v>
      </c>
      <c r="B37" s="184">
        <v>3.2</v>
      </c>
      <c r="C37" s="185" t="s">
        <v>1768</v>
      </c>
      <c r="D37" s="198" t="s">
        <v>588</v>
      </c>
      <c r="E37" s="186" t="s">
        <v>317</v>
      </c>
      <c r="F37" s="186" t="s">
        <v>1120</v>
      </c>
      <c r="G37" s="187">
        <f t="shared" si="0"/>
        <v>0.1111111111111111</v>
      </c>
      <c r="H37" s="188">
        <f>IF(D37="yes",(1*G37),IF(D37="no",(0*G37),IF(AND(D37="NA",Weight_3.2&lt;&gt;0),"Question weighting should be zero for questions answered NA","")))</f>
        <v>0.1111111111111111</v>
      </c>
    </row>
    <row r="38" spans="1:8" ht="166.5" customHeight="1">
      <c r="A38" s="172" t="s">
        <v>1750</v>
      </c>
      <c r="B38" s="184">
        <v>3.3</v>
      </c>
      <c r="C38" s="185" t="s">
        <v>766</v>
      </c>
      <c r="D38" s="198" t="s">
        <v>588</v>
      </c>
      <c r="E38" s="186" t="s">
        <v>318</v>
      </c>
      <c r="F38" s="186" t="s">
        <v>1229</v>
      </c>
      <c r="G38" s="187">
        <f t="shared" si="0"/>
        <v>0.1111111111111111</v>
      </c>
      <c r="H38" s="188">
        <f>IF(D38="yes",(1*G38),IF(D38="no",(0*G38),IF(AND(D38="NA",Weight_3.3&lt;&gt;0),"Question weighting should be zero for questions answered NA","")))</f>
        <v>0.1111111111111111</v>
      </c>
    </row>
    <row r="39" spans="1:8" ht="309.75" customHeight="1">
      <c r="A39" s="172" t="s">
        <v>1750</v>
      </c>
      <c r="B39" s="184">
        <v>3.4</v>
      </c>
      <c r="C39" s="185" t="s">
        <v>1001</v>
      </c>
      <c r="D39" s="259" t="s">
        <v>1031</v>
      </c>
      <c r="E39" s="256" t="s">
        <v>608</v>
      </c>
      <c r="F39" s="186" t="s">
        <v>1230</v>
      </c>
      <c r="G39" s="187">
        <f t="shared" si="0"/>
        <v>0.1111111111111111</v>
      </c>
      <c r="H39" s="188">
        <f>IF(D39="yes",(1*G39),IF(D39="no",(0*G39),IF(AND(D39="NA",Weight_3.4&lt;&gt;0),"Question weighting should be zero for questions answered NA","")))</f>
        <v>0</v>
      </c>
    </row>
    <row r="40" spans="1:8" ht="190.5" customHeight="1">
      <c r="A40" s="204" t="s">
        <v>1750</v>
      </c>
      <c r="B40" s="205">
        <v>3.5</v>
      </c>
      <c r="C40" s="206" t="s">
        <v>767</v>
      </c>
      <c r="D40" s="207" t="s">
        <v>588</v>
      </c>
      <c r="E40" s="256" t="s">
        <v>607</v>
      </c>
      <c r="F40" s="208" t="s">
        <v>1683</v>
      </c>
      <c r="G40" s="187">
        <f t="shared" si="0"/>
        <v>0.1111111111111111</v>
      </c>
      <c r="H40" s="188">
        <f>IF(D40="yes",(1*G40),IF(D40="no",(0*G40),IF(AND(D40="NA",Weight_3.5&lt;&gt;0),"Question weighting should be zero for questions answered NA","")))</f>
        <v>0.1111111111111111</v>
      </c>
    </row>
    <row r="41" spans="1:8" ht="132.75" customHeight="1">
      <c r="A41" s="172" t="s">
        <v>1750</v>
      </c>
      <c r="B41" s="184">
        <v>3.6</v>
      </c>
      <c r="C41" s="185" t="s">
        <v>403</v>
      </c>
      <c r="D41" s="198" t="s">
        <v>588</v>
      </c>
      <c r="E41" s="186" t="s">
        <v>704</v>
      </c>
      <c r="F41" s="186" t="s">
        <v>1121</v>
      </c>
      <c r="G41" s="187">
        <f t="shared" si="0"/>
        <v>0.1111111111111111</v>
      </c>
      <c r="H41" s="188">
        <f>IF(D41="yes",(1*G41),IF(D41="no",(0*G41),IF(AND(D41="NA",Weight_3.6&lt;&gt;0),"Question weighting should be zero for questions answered NA","")))</f>
        <v>0.1111111111111111</v>
      </c>
    </row>
    <row r="42" spans="1:8" ht="125.25" customHeight="1">
      <c r="A42" s="172" t="s">
        <v>1750</v>
      </c>
      <c r="B42" s="184">
        <v>3.7</v>
      </c>
      <c r="C42" s="185" t="s">
        <v>768</v>
      </c>
      <c r="D42" s="259" t="s">
        <v>1031</v>
      </c>
      <c r="E42" s="256" t="s">
        <v>1302</v>
      </c>
      <c r="F42" s="186" t="s">
        <v>1231</v>
      </c>
      <c r="G42" s="187">
        <f t="shared" si="0"/>
        <v>0.1111111111111111</v>
      </c>
      <c r="H42" s="188">
        <f>IF(D42="yes",(1*G42),IF(D42="no",(0*G42),IF(AND(D42="NA",Weight_3.7&lt;&gt;0),"Question weighting should be zero for questions answered NA","")))</f>
        <v>0</v>
      </c>
    </row>
    <row r="43" spans="1:8" ht="123" customHeight="1">
      <c r="A43" s="172" t="s">
        <v>1750</v>
      </c>
      <c r="B43" s="209" t="s">
        <v>984</v>
      </c>
      <c r="C43" s="185" t="s">
        <v>1755</v>
      </c>
      <c r="D43" s="229" t="s">
        <v>588</v>
      </c>
      <c r="E43" s="210" t="s">
        <v>1125</v>
      </c>
      <c r="F43" s="210" t="s">
        <v>1122</v>
      </c>
      <c r="G43" s="187">
        <f t="shared" si="0"/>
        <v>0.1111111111111111</v>
      </c>
      <c r="H43" s="188">
        <f>IF(D43="yes",(1*G43),IF(D43="no",(0*G43),IF(AND(D43="NA",G43&lt;&gt;0),"Question weighting should be zero for questions answered NA","")))</f>
        <v>0.1111111111111111</v>
      </c>
    </row>
    <row r="44" spans="1:8" ht="156" customHeight="1">
      <c r="A44" s="172" t="s">
        <v>1750</v>
      </c>
      <c r="B44" s="209" t="s">
        <v>985</v>
      </c>
      <c r="C44" s="185" t="s">
        <v>1756</v>
      </c>
      <c r="D44" s="229" t="s">
        <v>588</v>
      </c>
      <c r="E44" s="263" t="s">
        <v>1296</v>
      </c>
      <c r="F44" s="210" t="s">
        <v>1297</v>
      </c>
      <c r="G44" s="187">
        <f>1/9</f>
        <v>0.1111111111111111</v>
      </c>
      <c r="H44" s="188">
        <f>IF(D44="yes",(1*G44),IF(D44="no",(0*G44),IF(AND(D44="NA",G44&lt;&gt;0),"Question weighting should be zero for questions answered NA","")))</f>
        <v>0.1111111111111111</v>
      </c>
    </row>
    <row r="45" spans="1:7" ht="15.75">
      <c r="A45" s="172" t="s">
        <v>1754</v>
      </c>
      <c r="C45" s="164"/>
      <c r="D45" s="226"/>
      <c r="E45" s="189"/>
      <c r="F45" s="189"/>
      <c r="G45" s="175"/>
    </row>
    <row r="46" spans="1:8" ht="15.75">
      <c r="A46" s="172" t="s">
        <v>1754</v>
      </c>
      <c r="B46" s="190"/>
      <c r="C46" s="191" t="s">
        <v>1593</v>
      </c>
      <c r="D46" s="227"/>
      <c r="E46" s="192"/>
      <c r="F46" s="192"/>
      <c r="G46" s="193">
        <f>IF(SUM(G36:G45)&lt;&gt;100%,"Not 100%",SUM(G36:G45))</f>
        <v>1.0000000000000002</v>
      </c>
      <c r="H46" s="194">
        <f>IF(G46=100%,SUM(H36:H45),"Check Weights")</f>
        <v>0.7777777777777779</v>
      </c>
    </row>
    <row r="47" spans="1:6" ht="15.75">
      <c r="A47" s="172" t="s">
        <v>1754</v>
      </c>
      <c r="C47" s="164"/>
      <c r="D47" s="209"/>
      <c r="E47" s="195"/>
      <c r="F47" s="195"/>
    </row>
    <row r="48" spans="1:8" ht="15.75">
      <c r="A48" s="172" t="s">
        <v>1754</v>
      </c>
      <c r="B48" s="176" t="s">
        <v>1265</v>
      </c>
      <c r="C48" s="178"/>
      <c r="D48" s="230"/>
      <c r="E48" s="211"/>
      <c r="F48" s="196"/>
      <c r="G48" s="197"/>
      <c r="H48" s="197"/>
    </row>
    <row r="49" spans="1:8" ht="31.5">
      <c r="A49" s="181" t="s">
        <v>1754</v>
      </c>
      <c r="B49" s="179" t="s">
        <v>1752</v>
      </c>
      <c r="C49" s="179" t="s">
        <v>401</v>
      </c>
      <c r="D49" s="216" t="s">
        <v>402</v>
      </c>
      <c r="E49" s="182" t="s">
        <v>412</v>
      </c>
      <c r="F49" s="182" t="s">
        <v>1747</v>
      </c>
      <c r="G49" s="179" t="s">
        <v>1128</v>
      </c>
      <c r="H49" s="179" t="s">
        <v>282</v>
      </c>
    </row>
    <row r="50" spans="1:8" ht="114" customHeight="1">
      <c r="A50" s="172" t="s">
        <v>1750</v>
      </c>
      <c r="B50" s="184">
        <v>4.1</v>
      </c>
      <c r="C50" s="185" t="s">
        <v>769</v>
      </c>
      <c r="D50" s="212" t="s">
        <v>1715</v>
      </c>
      <c r="E50" s="186" t="s">
        <v>1543</v>
      </c>
      <c r="F50" s="186" t="s">
        <v>731</v>
      </c>
      <c r="G50" s="187">
        <v>0.25</v>
      </c>
      <c r="H50" s="188">
        <f>IF(D50="yes",(1*G50),IF(D50="no",(0*G50),IF(D50="small extent",(0.33*G50),IF(D50="large extent",(0.67*G50),IF(AND(D50="NA",Weight_4.1&lt;&gt;0),"Question weighting should be zero for questions answered NA","")))))</f>
        <v>0.0825</v>
      </c>
    </row>
    <row r="51" spans="1:8" ht="132.75" customHeight="1">
      <c r="A51" s="172" t="s">
        <v>1750</v>
      </c>
      <c r="B51" s="213">
        <v>4.2</v>
      </c>
      <c r="C51" s="214" t="s">
        <v>770</v>
      </c>
      <c r="D51" s="261" t="s">
        <v>1031</v>
      </c>
      <c r="E51" s="262" t="s">
        <v>1295</v>
      </c>
      <c r="F51" s="238" t="s">
        <v>1124</v>
      </c>
      <c r="G51" s="187">
        <v>0.25</v>
      </c>
      <c r="H51" s="188">
        <f>IF(D51="yes",(1*G51),IF(D51="no",(0*G51),IF(D51="small extent",(0.33*G51),IF(D51="large extent",(0.67*G51),IF(AND(D51="NA",Weight_4.2&lt;&gt;0),"Question weighting should be zero for questions answered NA","")))))</f>
        <v>0</v>
      </c>
    </row>
    <row r="52" spans="1:8" ht="159.75" customHeight="1">
      <c r="A52" s="172" t="s">
        <v>1750</v>
      </c>
      <c r="B52" s="184">
        <v>4.3</v>
      </c>
      <c r="C52" s="185" t="s">
        <v>771</v>
      </c>
      <c r="D52" s="237" t="s">
        <v>1715</v>
      </c>
      <c r="E52" s="260" t="s">
        <v>612</v>
      </c>
      <c r="F52" s="238" t="s">
        <v>1123</v>
      </c>
      <c r="G52" s="187">
        <v>0.25</v>
      </c>
      <c r="H52" s="188">
        <f>IF(D52="yes",(1*G52),IF(D52="no",(0*G52),IF(D52="small extent",(0.33*G52),IF(D52="large extent",(0.67*G52),IF(AND(D52="NA",Weight_4.3&lt;&gt;0),"Question weighting should be zero for questions answered NA","")))))</f>
        <v>0.0825</v>
      </c>
    </row>
    <row r="53" spans="1:8" ht="74.25" customHeight="1">
      <c r="A53" s="172" t="s">
        <v>1750</v>
      </c>
      <c r="B53" s="184">
        <v>4.4</v>
      </c>
      <c r="C53" s="185" t="s">
        <v>819</v>
      </c>
      <c r="D53" s="261" t="s">
        <v>1299</v>
      </c>
      <c r="E53" s="256" t="s">
        <v>1300</v>
      </c>
      <c r="F53" s="186" t="s">
        <v>1126</v>
      </c>
      <c r="G53" s="187">
        <v>0</v>
      </c>
      <c r="H53" s="188">
        <f>IF(D53="yes",(1*G53),IF(D53="no",(0*G53),IF(D53="small extent",(0.33*G53),IF(D53="large extent",(0.67*G53),IF(AND(D53="NA",Weight_4.4&lt;&gt;0),"Question weighting should be zero for questions answered NA","")))))</f>
      </c>
    </row>
    <row r="54" spans="1:8" ht="58.5" customHeight="1">
      <c r="A54" s="172" t="s">
        <v>1750</v>
      </c>
      <c r="B54" s="184">
        <v>4.5</v>
      </c>
      <c r="C54" s="185" t="s">
        <v>820</v>
      </c>
      <c r="D54" s="198" t="s">
        <v>1031</v>
      </c>
      <c r="E54" s="186" t="s">
        <v>319</v>
      </c>
      <c r="F54" s="186" t="s">
        <v>732</v>
      </c>
      <c r="G54" s="187">
        <v>0.25</v>
      </c>
      <c r="H54" s="188">
        <f>IF(D54="yes",(1*G54),IF(D54="no",(0*G54),IF(D54="small extent",(0.33*G54),IF(D54="large extent",(0.67*G54),IF(AND(D54="NA",Weight_4.5&lt;&gt;0),"Question weighting should be zero for questions answered NA","")))))</f>
        <v>0</v>
      </c>
    </row>
    <row r="55" spans="1:8" ht="15.75">
      <c r="A55" s="172" t="s">
        <v>1754</v>
      </c>
      <c r="B55" s="190"/>
      <c r="C55" s="191" t="s">
        <v>1594</v>
      </c>
      <c r="D55" s="231"/>
      <c r="E55" s="215"/>
      <c r="F55" s="215"/>
      <c r="G55" s="193">
        <f>IF(SUM(G50:G54)&lt;&gt;100%,"Not 100%",SUM(G50:G54))</f>
        <v>1</v>
      </c>
      <c r="H55" s="194">
        <f>IF(G55=100%,SUM(H50:H54),"Check Weights")</f>
        <v>0.165</v>
      </c>
    </row>
    <row r="64" ht="15.75">
      <c r="A64" s="172" t="s">
        <v>35</v>
      </c>
    </row>
  </sheetData>
  <sheetProtection password="E68A" sheet="1" objects="1" scenarios="1"/>
  <conditionalFormatting sqref="G55 G46 G32 G18">
    <cfRule type="cellIs" priority="1" dxfId="0" operator="equal" stopIfTrue="1">
      <formula>"Not 100%"</formula>
    </cfRule>
  </conditionalFormatting>
  <conditionalFormatting sqref="H55 H46 H18 H32">
    <cfRule type="cellIs" priority="2" dxfId="0" operator="equal" stopIfTrue="1">
      <formula>"Check Weights"</formula>
    </cfRule>
  </conditionalFormatting>
  <dataValidations count="17">
    <dataValidation type="list" showDropDown="1" showInputMessage="1" showErrorMessage="1" errorTitle="Invalid Response" error="Answer must be YES, NO, or NA &#10;(all caps)&#10;" sqref="D26">
      <formula1>"YES,NO,NA"</formula1>
    </dataValidation>
    <dataValidation type="list" allowBlank="1" showInputMessage="1" showErrorMessage="1" promptTitle="Response Link:" prompt="If the answer to 2.1 = NO, then 4.1 must also be NO.&#10;&#10;If  2.2 = NO, then 4.1 may be only NO or SMALL EXTENT." errorTitle="Invalid Response" error="Response must be YES, SMALL EXTENT, LARGE EXTENT, or NO. (All caps)&#10;NA is not a valid option on this question." sqref="D50:D51">
      <formula1>"YES, NO, SMALL EXTENT, LARGE EXTENT"</formula1>
    </dataValidation>
    <dataValidation type="list" allowBlank="1" showInputMessage="1" showErrorMessage="1" promptTitle="Primary Program Type" prompt="If this program is a combination of types:&#10;- Select the secondary type in the cell to the right. &#10;- IMPORTANT:Type-specific questions must be added; confer with your PET contact (see red text on Instructions tab)." sqref="C4">
      <formula1>"Block/Formula, Capital Assets &amp; Service Acquisition, Competitive Grant,Credit, Direct Federal, Regulatory, Research &amp; Development"</formula1>
    </dataValidation>
    <dataValidation type="list" allowBlank="1" showInputMessage="1" showErrorMessage="1" prompt="If the program is not a mix of three types, leave this cell blank." sqref="E4">
      <formula1>"Block/Formula, Capital Assets &amp; Service Acquisition, Competitive Grant,Credit, Direct Federal, Regulatory, Research &amp; Development"</formula1>
    </dataValidation>
    <dataValidation type="list" allowBlank="1" showDropDown="1" showInputMessage="1" showErrorMessage="1" sqref="C9">
      <formula1>"2005"</formula1>
    </dataValidation>
    <dataValidation type="list" allowBlank="1" showInputMessage="1" showErrorMessage="1" prompt="If NA is chosen, specific justificaton must be provided." errorTitle="Invalid Response" error="Response must be YES, SMALL EXTENT, LARGE EXTENT, or NO. &#10;(All caps)" sqref="D54">
      <formula1>"YES, LARGE EXTENT, SMALL EXTENT, NO, NA"</formula1>
    </dataValidation>
    <dataValidation type="list" allowBlank="1" showInputMessage="1" showErrorMessage="1" prompt="A program would normally not be eligible for a Yes answer to this question if it received a No in Question 3.4.&#10;&#10;NA is a potential answer for Question 4.3 if the program is already operating at very high efficiency levels.  &#10;" errorTitle="Invalid Response" error="Response must be YES, SMALL EXTENT, LARGE EXTENT, or NO. (All caps) &#10;NA is not a valid option on this question." sqref="D52">
      <formula1>"YES, LARGE EXTENT, SMALL EXTENT, NO, NA"</formula1>
    </dataValidation>
    <dataValidation errorStyle="warning" type="list" allowBlank="1" showDropDown="1" showInputMessage="1" showErrorMessage="1" errorTitle="END OF FILE" error="Anything you type here or below will not get uploaded into the database. " sqref="B59:H569 A65:A575 I22:IV32 I17:IV20 I57:IV310 I34:IV55">
      <formula1>" "</formula1>
    </dataValidation>
    <dataValidation type="list" showInputMessage="1" showErrorMessage="1" promptTitle="Response Link:" prompt="If the program received a No for both Questions 2.1 and 2.3, the program must receive a No for Question 2.5. " errorTitle="Invalid Response" error="Answer must be YES, NO, or NA &#10;(all caps)&#10;" sqref="D27">
      <formula1>"YES,NO,NA"</formula1>
    </dataValidation>
    <dataValidation type="list" showInputMessage="1" showErrorMessage="1" prompt="If program is new, NA is an appropriate response." errorTitle="Invalid Response" error="Answer must be YES, NO, or NA &#10;(all caps)&#10;" sqref="D29">
      <formula1>"YES,NO,NA"</formula1>
    </dataValidation>
    <dataValidation type="list" allowBlank="1" showInputMessage="1" showErrorMessage="1" promptTitle="Secondary Program Type" prompt="If this program is only one type, leave this cell blank, otherwise enter the second type here.&#10; &#10;If this program is a combination of three types, select the third type in the cell to the right. " sqref="D4">
      <formula1>"Block/Formula, Capital Assets &amp; Service Acquisition, Competitive Grant,Credit, Direct Federal, Regulatory, Research &amp; Development"</formula1>
    </dataValidation>
    <dataValidation errorStyle="warning" type="list" allowBlank="1" showInputMessage="1" showErrorMessage="1" errorTitle="Agency Name" error="You have not chosen an agency on the list. Please ensure that you meant to type the agency name you entered before continuing. " sqref="C7">
      <formula1>Agencies</formula1>
    </dataValidation>
    <dataValidation allowBlank="1" showInputMessage="1" showErrorMessage="1" promptTitle="Program ID" prompt="The text to enter here will be provided to the OMB examiner prior to upload to the database.   " sqref="E6 C6"/>
    <dataValidation type="list" showInputMessage="1" showErrorMessage="1" errorTitle="Invalid Response" error="Answer must be YES, NO, or NA &#10;(all caps)&#10;" sqref="D12:D16 D28 D30 D22:D24 D36:D42">
      <formula1>"YES,NO,NA"</formula1>
    </dataValidation>
    <dataValidation type="list" allowBlank="1" showInputMessage="1" showErrorMessage="1" prompt="If NA is chosen, a detailed explanation must be provided. " errorTitle="Invalid Response" error="Response must be YES, SMALL EXTENT, LARGE EXTENT, or NO. &#10;(All caps)" sqref="D53">
      <formula1>"YES, LARGE EXTENT, SMALL EXTENT, NO, NA"</formula1>
    </dataValidation>
    <dataValidation type="list" showInputMessage="1" showErrorMessage="1" promptTitle="Response Link:" prompt="If the program received a No in Question 2.3, the program must get a No for Question 2.4.  &#10;&#10;&#10;" errorTitle="Invalid Response" error="Answer must be YES, NO, or NA &#10;(all caps)&#10;" sqref="D25">
      <formula1>"YES,NO,NA"</formula1>
    </dataValidation>
    <dataValidation type="list" allowBlank="1" showInputMessage="1" showErrorMessage="1" errorTitle="Invalid Response" error="Answer must be YES, NO, or NA &#10;(all caps)&#10;" sqref="D43:D44">
      <formula1>"YES,NO,NA"</formula1>
    </dataValidation>
  </dataValidations>
  <printOptions/>
  <pageMargins left="0.25" right="0.25" top="0.5" bottom="0.25" header="0" footer="0"/>
  <pageSetup fitToHeight="4" fitToWidth="4" horizontalDpi="600" verticalDpi="600" orientation="landscape" scale="44" r:id="rId3"/>
  <headerFooter alignWithMargins="0">
    <oddFooter>&amp;C&amp;P&amp;R&amp;"Arial,Bold"FY  2005 Budget
</oddFooter>
  </headerFooter>
  <rowBreaks count="4" manualBreakCount="4">
    <brk id="19" min="1" max="7" man="1"/>
    <brk id="33" min="1" max="7" man="1"/>
    <brk id="40" min="1" max="7" man="1"/>
    <brk id="47" min="1" max="7" man="1"/>
  </rowBreaks>
  <legacyDrawing r:id="rId2"/>
</worksheet>
</file>

<file path=xl/worksheets/sheet3.xml><?xml version="1.0" encoding="utf-8"?>
<worksheet xmlns="http://schemas.openxmlformats.org/spreadsheetml/2006/main" xmlns:r="http://schemas.openxmlformats.org/officeDocument/2006/relationships">
  <sheetPr codeName="Sheet5">
    <pageSetUpPr fitToPage="1"/>
  </sheetPr>
  <dimension ref="A1:AB216"/>
  <sheetViews>
    <sheetView view="pageBreakPreview" zoomScale="75" zoomScaleSheetLayoutView="75" workbookViewId="0" topLeftCell="B11">
      <pane ySplit="1185" topLeftCell="BM14" activePane="bottomLeft" state="split"/>
      <selection pane="topLeft" activeCell="E1" sqref="E1"/>
      <selection pane="bottomLeft" activeCell="C20" sqref="C20"/>
    </sheetView>
  </sheetViews>
  <sheetFormatPr defaultColWidth="9.140625" defaultRowHeight="12.75"/>
  <cols>
    <col min="1" max="1" width="6.8515625" style="35" hidden="1" customWidth="1"/>
    <col min="2" max="2" width="22.421875" style="34" customWidth="1"/>
    <col min="3" max="3" width="16.8515625" style="35" bestFit="1" customWidth="1"/>
    <col min="4" max="4" width="24.7109375" style="35" customWidth="1"/>
    <col min="5" max="5" width="39.28125" style="35" customWidth="1"/>
    <col min="6" max="6" width="27.8515625" style="35" customWidth="1"/>
    <col min="7" max="7" width="11.7109375" style="149" customWidth="1"/>
    <col min="8" max="8" width="10.8515625" style="149" customWidth="1"/>
    <col min="9" max="9" width="8.8515625" style="149" customWidth="1"/>
    <col min="10" max="10" width="9.7109375" style="82" customWidth="1"/>
    <col min="11" max="11" width="10.7109375" style="35" customWidth="1"/>
    <col min="12" max="12" width="12.140625" style="35" bestFit="1" customWidth="1"/>
    <col min="13" max="13" width="10.00390625" style="35" bestFit="1" customWidth="1"/>
    <col min="14" max="16384" width="9.140625" style="35" customWidth="1"/>
  </cols>
  <sheetData>
    <row r="1" spans="1:9" ht="15.75">
      <c r="A1" s="83"/>
      <c r="B1" s="94"/>
      <c r="E1" s="20" t="s">
        <v>1761</v>
      </c>
      <c r="G1" s="142"/>
      <c r="H1" s="142"/>
      <c r="I1" s="142"/>
    </row>
    <row r="2" spans="1:9" ht="15.75">
      <c r="A2" t="s">
        <v>1751</v>
      </c>
      <c r="D2" s="19"/>
      <c r="E2" s="33"/>
      <c r="F2" s="19"/>
      <c r="G2" s="143"/>
      <c r="H2" s="143"/>
      <c r="I2" s="142"/>
    </row>
    <row r="3" spans="1:9" ht="15.75">
      <c r="A3" t="s">
        <v>1754</v>
      </c>
      <c r="C3" s="107"/>
      <c r="D3" s="6"/>
      <c r="E3" s="33"/>
      <c r="F3" s="19"/>
      <c r="G3" s="143"/>
      <c r="H3" s="143"/>
      <c r="I3" s="142"/>
    </row>
    <row r="4" spans="1:9" ht="15.75">
      <c r="A4" t="s">
        <v>1762</v>
      </c>
      <c r="B4" s="63" t="s">
        <v>1749</v>
      </c>
      <c r="C4" s="108" t="str">
        <f>Program_Type_Primary</f>
        <v>Block/Formula</v>
      </c>
      <c r="D4" s="108">
        <f>Program_Type_Secondary</f>
        <v>0</v>
      </c>
      <c r="E4" s="108">
        <f>Program_Type_Tertiary</f>
        <v>0</v>
      </c>
      <c r="F4" s="19"/>
      <c r="G4" s="143"/>
      <c r="H4" s="143"/>
      <c r="I4" s="142"/>
    </row>
    <row r="5" spans="1:9" ht="15.75">
      <c r="A5" t="s">
        <v>1762</v>
      </c>
      <c r="B5" s="63" t="s">
        <v>406</v>
      </c>
      <c r="C5" s="109" t="str">
        <f>Program_Name</f>
        <v>Low Income Home Energy Assistance Program</v>
      </c>
      <c r="D5" s="110"/>
      <c r="E5" s="111"/>
      <c r="F5" s="17"/>
      <c r="G5" s="144"/>
      <c r="H5" s="144"/>
      <c r="I5" s="142"/>
    </row>
    <row r="6" spans="1:9" ht="15.75">
      <c r="A6" t="s">
        <v>1762</v>
      </c>
      <c r="B6" s="63" t="s">
        <v>440</v>
      </c>
      <c r="C6" s="109">
        <f>Program_ID</f>
        <v>0</v>
      </c>
      <c r="D6" s="109"/>
      <c r="E6" s="112"/>
      <c r="F6" s="17"/>
      <c r="G6" s="144"/>
      <c r="H6" s="144"/>
      <c r="I6" s="142"/>
    </row>
    <row r="7" spans="1:9" ht="15.75">
      <c r="A7" t="s">
        <v>1762</v>
      </c>
      <c r="B7" s="63" t="s">
        <v>1759</v>
      </c>
      <c r="C7" s="109" t="str">
        <f>Agency_Name</f>
        <v>Department of Health and Human Services                         </v>
      </c>
      <c r="D7" s="113"/>
      <c r="E7" s="113"/>
      <c r="F7" s="17"/>
      <c r="G7" s="144"/>
      <c r="H7" s="144"/>
      <c r="I7" s="142"/>
    </row>
    <row r="8" spans="1:9" ht="15.75">
      <c r="A8" t="s">
        <v>1762</v>
      </c>
      <c r="B8" s="63" t="s">
        <v>1760</v>
      </c>
      <c r="C8" s="109" t="str">
        <f>Bureau_Name</f>
        <v>Office of Community Services, ACF</v>
      </c>
      <c r="D8" s="113"/>
      <c r="E8" s="113"/>
      <c r="F8" s="17"/>
      <c r="G8" s="144"/>
      <c r="H8" s="144"/>
      <c r="I8" s="142"/>
    </row>
    <row r="9" spans="1:9" ht="15.75">
      <c r="A9" t="s">
        <v>1762</v>
      </c>
      <c r="B9" s="63" t="s">
        <v>197</v>
      </c>
      <c r="C9" s="114">
        <f>Year_data_collected</f>
        <v>2005</v>
      </c>
      <c r="D9" s="115"/>
      <c r="E9" s="116"/>
      <c r="F9" s="19"/>
      <c r="G9" s="143"/>
      <c r="H9" s="143"/>
      <c r="I9" s="142"/>
    </row>
    <row r="10" spans="1:9" ht="15.75">
      <c r="A10" t="s">
        <v>1754</v>
      </c>
      <c r="B10" s="63"/>
      <c r="C10" s="64"/>
      <c r="D10" s="79"/>
      <c r="E10" s="78"/>
      <c r="F10" s="19"/>
      <c r="G10" s="143"/>
      <c r="H10" s="143"/>
      <c r="I10" s="142"/>
    </row>
    <row r="11" spans="1:13" ht="52.5" customHeight="1">
      <c r="A11" t="s">
        <v>1754</v>
      </c>
      <c r="B11" s="36" t="s">
        <v>1758</v>
      </c>
      <c r="C11" s="37" t="s">
        <v>100</v>
      </c>
      <c r="D11" s="37" t="s">
        <v>1763</v>
      </c>
      <c r="E11" s="37" t="s">
        <v>1764</v>
      </c>
      <c r="F11" s="37" t="s">
        <v>97</v>
      </c>
      <c r="G11" s="150" t="s">
        <v>1765</v>
      </c>
      <c r="H11" s="145" t="s">
        <v>1757</v>
      </c>
      <c r="I11" s="145" t="s">
        <v>1766</v>
      </c>
      <c r="J11" s="41" t="s">
        <v>36</v>
      </c>
      <c r="K11" s="41" t="s">
        <v>598</v>
      </c>
      <c r="L11" s="41" t="s">
        <v>99</v>
      </c>
      <c r="M11" s="41" t="s">
        <v>98</v>
      </c>
    </row>
    <row r="12" spans="1:28" ht="13.5" thickBot="1">
      <c r="A12" s="55"/>
      <c r="B12" s="54"/>
      <c r="C12" s="72"/>
      <c r="D12" s="72"/>
      <c r="E12" s="73"/>
      <c r="F12" s="73"/>
      <c r="G12" s="146"/>
      <c r="H12" s="146"/>
      <c r="I12" s="146"/>
      <c r="J12" s="75"/>
      <c r="K12" s="73"/>
      <c r="L12" s="73"/>
      <c r="M12" s="73"/>
      <c r="AA12" s="35" t="s">
        <v>1112</v>
      </c>
      <c r="AB12" s="35" t="s">
        <v>1113</v>
      </c>
    </row>
    <row r="13" spans="1:27" ht="252">
      <c r="A13" s="56" t="s">
        <v>1205</v>
      </c>
      <c r="B13" s="56">
        <v>1</v>
      </c>
      <c r="C13" s="232" t="s">
        <v>945</v>
      </c>
      <c r="D13" s="232" t="s">
        <v>1204</v>
      </c>
      <c r="E13" s="233" t="s">
        <v>1232</v>
      </c>
      <c r="F13" s="234" t="s">
        <v>312</v>
      </c>
      <c r="G13" s="156"/>
      <c r="H13" s="156"/>
      <c r="I13" s="156"/>
      <c r="J13" s="67"/>
      <c r="K13" s="68"/>
      <c r="L13" s="68"/>
      <c r="M13" s="81"/>
      <c r="AA13">
        <f>placeholder</f>
        <v>1</v>
      </c>
    </row>
    <row r="14" spans="1:28" ht="12.75">
      <c r="A14" s="57" t="str">
        <f>IF(B14="","X","Y")</f>
        <v>Y</v>
      </c>
      <c r="B14" s="54">
        <f>(IF(G14="","",(+placeholder+0.1)))</f>
        <v>1.1</v>
      </c>
      <c r="C14" s="152"/>
      <c r="D14" s="152"/>
      <c r="E14" s="153"/>
      <c r="F14" s="153"/>
      <c r="G14" s="146">
        <v>2001</v>
      </c>
      <c r="H14" s="146" t="s">
        <v>313</v>
      </c>
      <c r="I14" s="146">
        <v>90</v>
      </c>
      <c r="J14" s="71"/>
      <c r="K14" s="153"/>
      <c r="L14" s="161"/>
      <c r="M14" s="157"/>
      <c r="AB14">
        <f>IF(B14="","",AA13)</f>
        <v>1</v>
      </c>
    </row>
    <row r="15" spans="1:28" ht="12.75">
      <c r="A15" s="57" t="str">
        <f>IF(B15="","X","Y")</f>
        <v>Y</v>
      </c>
      <c r="B15" s="54">
        <f>(IF(G15="","",(+B14+0.1)))</f>
        <v>1.2000000000000002</v>
      </c>
      <c r="C15" s="152"/>
      <c r="D15" s="152"/>
      <c r="E15" s="153"/>
      <c r="F15" s="153"/>
      <c r="G15" s="146">
        <v>2002</v>
      </c>
      <c r="H15" s="146" t="s">
        <v>313</v>
      </c>
      <c r="I15" s="146">
        <v>91</v>
      </c>
      <c r="J15" s="71"/>
      <c r="K15" s="153"/>
      <c r="L15" s="161"/>
      <c r="M15" s="157"/>
      <c r="AB15">
        <f>IF(B15="","",AA13)</f>
        <v>1</v>
      </c>
    </row>
    <row r="16" spans="1:28" ht="12.75">
      <c r="A16" s="57" t="str">
        <f>IF(B16="","X","Y")</f>
        <v>Y</v>
      </c>
      <c r="B16" s="54">
        <f>(IF(G16="","",(+B15+0.1)))</f>
        <v>1.3000000000000003</v>
      </c>
      <c r="C16" s="152"/>
      <c r="D16" s="152"/>
      <c r="E16" s="153"/>
      <c r="F16" s="153"/>
      <c r="G16" s="146">
        <v>2003</v>
      </c>
      <c r="H16" s="146" t="s">
        <v>313</v>
      </c>
      <c r="I16" s="146"/>
      <c r="J16" s="71"/>
      <c r="K16" s="153"/>
      <c r="L16" s="161"/>
      <c r="M16" s="157"/>
      <c r="AB16">
        <f>IF(B16="","",AA13)</f>
        <v>1</v>
      </c>
    </row>
    <row r="17" spans="1:28" ht="12.75">
      <c r="A17" s="57" t="str">
        <f>IF(B17="","X","Y")</f>
        <v>Y</v>
      </c>
      <c r="B17" s="54">
        <f>(IF(G17="","",(+B16+0.1)))</f>
        <v>1.4000000000000004</v>
      </c>
      <c r="C17" s="152"/>
      <c r="D17" s="152"/>
      <c r="E17" s="153"/>
      <c r="F17" s="153"/>
      <c r="G17" s="146">
        <v>2004</v>
      </c>
      <c r="H17" s="146" t="s">
        <v>314</v>
      </c>
      <c r="I17" s="146"/>
      <c r="J17" s="71"/>
      <c r="K17" s="153"/>
      <c r="L17" s="235" t="s">
        <v>315</v>
      </c>
      <c r="M17" s="157"/>
      <c r="AB17">
        <f>IF(B17="","",AA13)</f>
        <v>1</v>
      </c>
    </row>
    <row r="18" spans="1:28" ht="13.5" thickBot="1">
      <c r="A18" s="57" t="str">
        <f>IF(B18="","X","Y")</f>
        <v>Y</v>
      </c>
      <c r="B18" s="59">
        <f>(IF(G18="","",(+B17+0.1)))</f>
        <v>1.5000000000000004</v>
      </c>
      <c r="C18" s="154"/>
      <c r="D18" s="154"/>
      <c r="E18" s="155"/>
      <c r="F18" s="155"/>
      <c r="G18" s="147">
        <v>2005</v>
      </c>
      <c r="H18" s="147" t="s">
        <v>314</v>
      </c>
      <c r="I18" s="147"/>
      <c r="J18" s="76"/>
      <c r="K18" s="155"/>
      <c r="L18" s="236" t="s">
        <v>315</v>
      </c>
      <c r="M18" s="158"/>
      <c r="AB18">
        <f>IF(B18="","",AA13)</f>
        <v>1</v>
      </c>
    </row>
    <row r="19" spans="1:13" ht="13.5" thickBot="1">
      <c r="A19" s="55"/>
      <c r="B19" s="54"/>
      <c r="C19" s="72"/>
      <c r="D19" s="72"/>
      <c r="E19" s="73"/>
      <c r="F19" s="73"/>
      <c r="G19" s="146"/>
      <c r="H19" s="146"/>
      <c r="I19" s="146"/>
      <c r="J19" s="71"/>
      <c r="K19" s="74"/>
      <c r="L19" s="74"/>
      <c r="M19" s="74"/>
    </row>
    <row r="20" spans="1:28" ht="13.5" thickBot="1">
      <c r="A20" s="56" t="str">
        <f>IF(AND(E20=0,C20=0,D20=0,K20=0),"X","M")</f>
        <v>M</v>
      </c>
      <c r="B20" s="56">
        <f>IF(AND(E20=0,C20=0,D20=0,(OR(K20=0,K20="New")),F20=0)," ",(+B13+1))</f>
        <v>2</v>
      </c>
      <c r="C20" s="65" t="s">
        <v>1294</v>
      </c>
      <c r="D20" s="65" t="s">
        <v>946</v>
      </c>
      <c r="E20" s="66"/>
      <c r="F20" s="66"/>
      <c r="G20" s="156"/>
      <c r="H20" s="156"/>
      <c r="I20" s="156"/>
      <c r="J20" s="67"/>
      <c r="K20" s="68"/>
      <c r="L20" s="68"/>
      <c r="M20" s="81"/>
      <c r="AA20">
        <f>B20</f>
        <v>2</v>
      </c>
      <c r="AB20"/>
    </row>
    <row r="21" spans="1:27" ht="24">
      <c r="A21" s="239" t="s">
        <v>1205</v>
      </c>
      <c r="B21" s="239">
        <v>1</v>
      </c>
      <c r="C21" s="240" t="s">
        <v>945</v>
      </c>
      <c r="D21" s="240" t="s">
        <v>1204</v>
      </c>
      <c r="E21" s="241" t="s">
        <v>140</v>
      </c>
      <c r="F21" s="242"/>
      <c r="G21" s="243"/>
      <c r="H21" s="243"/>
      <c r="I21" s="243"/>
      <c r="J21" s="244"/>
      <c r="K21" s="245"/>
      <c r="L21" s="245"/>
      <c r="M21" s="246"/>
      <c r="AA21" s="35">
        <f>placeholder</f>
        <v>1</v>
      </c>
    </row>
    <row r="22" spans="1:28" ht="12.75">
      <c r="A22" s="57" t="str">
        <f>IF(B22="","X","Y")</f>
        <v>Y</v>
      </c>
      <c r="B22" s="54">
        <f>(IF(G22="","",(+placeholder+0.1)))</f>
        <v>1.1</v>
      </c>
      <c r="C22" s="72"/>
      <c r="D22" s="72"/>
      <c r="E22" s="73"/>
      <c r="F22" s="73"/>
      <c r="G22" s="146">
        <v>2001</v>
      </c>
      <c r="H22" s="146" t="s">
        <v>313</v>
      </c>
      <c r="I22" s="146"/>
      <c r="J22" s="71"/>
      <c r="K22" s="73"/>
      <c r="L22" s="74"/>
      <c r="M22" s="247"/>
      <c r="AB22" s="35">
        <f>IF(B22="","",AA21)</f>
        <v>1</v>
      </c>
    </row>
    <row r="23" spans="1:28" ht="12.75">
      <c r="A23" s="57" t="str">
        <f>IF(B23="","X","Y")</f>
        <v>Y</v>
      </c>
      <c r="B23" s="54">
        <f>(IF(G23="","",(+B22+0.1)))</f>
        <v>1.2000000000000002</v>
      </c>
      <c r="C23" s="72"/>
      <c r="D23" s="72"/>
      <c r="E23" s="73"/>
      <c r="F23" s="73"/>
      <c r="G23" s="146">
        <v>2002</v>
      </c>
      <c r="H23" s="146" t="s">
        <v>313</v>
      </c>
      <c r="I23" s="146"/>
      <c r="J23" s="71"/>
      <c r="K23" s="73"/>
      <c r="L23" s="74"/>
      <c r="M23" s="247"/>
      <c r="AB23" s="35">
        <f>IF(B23="","",AA21)</f>
        <v>1</v>
      </c>
    </row>
    <row r="24" spans="1:28" ht="12.75">
      <c r="A24" s="57" t="str">
        <f>IF(B24="","X","Y")</f>
        <v>Y</v>
      </c>
      <c r="B24" s="54">
        <f>(IF(G24="","",(+B23+0.1)))</f>
        <v>1.3000000000000003</v>
      </c>
      <c r="C24" s="72"/>
      <c r="D24" s="72"/>
      <c r="E24" s="73"/>
      <c r="F24" s="73"/>
      <c r="G24" s="146">
        <v>2003</v>
      </c>
      <c r="H24" s="146" t="s">
        <v>313</v>
      </c>
      <c r="I24" s="146"/>
      <c r="J24" s="71"/>
      <c r="K24" s="73"/>
      <c r="L24" s="74"/>
      <c r="M24" s="247"/>
      <c r="AB24" s="35">
        <f>IF(B24="","",AA21)</f>
        <v>1</v>
      </c>
    </row>
    <row r="25" spans="1:28" ht="12.75">
      <c r="A25" s="57" t="str">
        <f>IF(B25="","X","Y")</f>
        <v>Y</v>
      </c>
      <c r="B25" s="54">
        <f>(IF(G25="","",(+B24+0.1)))</f>
        <v>1.4000000000000004</v>
      </c>
      <c r="C25" s="72"/>
      <c r="D25" s="72"/>
      <c r="E25" s="73"/>
      <c r="F25" s="73"/>
      <c r="G25" s="146">
        <v>2004</v>
      </c>
      <c r="H25" s="146" t="s">
        <v>314</v>
      </c>
      <c r="I25" s="146"/>
      <c r="J25" s="71"/>
      <c r="K25" s="73"/>
      <c r="L25" s="71" t="s">
        <v>315</v>
      </c>
      <c r="M25" s="247"/>
      <c r="AB25" s="35">
        <f>IF(B25="","",AA21)</f>
        <v>1</v>
      </c>
    </row>
    <row r="26" spans="1:28" ht="13.5" thickBot="1">
      <c r="A26" s="57" t="str">
        <f>IF(B26="","X","Y")</f>
        <v>Y</v>
      </c>
      <c r="B26" s="59">
        <f>(IF(G26="","",(+B25+0.1)))</f>
        <v>1.5000000000000004</v>
      </c>
      <c r="C26" s="248"/>
      <c r="D26" s="248"/>
      <c r="E26" s="249"/>
      <c r="F26" s="249"/>
      <c r="G26" s="147">
        <v>2005</v>
      </c>
      <c r="H26" s="147" t="s">
        <v>314</v>
      </c>
      <c r="I26" s="147"/>
      <c r="J26" s="76"/>
      <c r="K26" s="249"/>
      <c r="L26" s="250" t="s">
        <v>315</v>
      </c>
      <c r="M26" s="251"/>
      <c r="AB26" s="35">
        <f>IF(B26="","",AA21)</f>
        <v>1</v>
      </c>
    </row>
    <row r="27" spans="1:13" ht="13.5" thickBot="1">
      <c r="A27" s="55"/>
      <c r="B27" s="54"/>
      <c r="C27" s="72"/>
      <c r="D27" s="72"/>
      <c r="E27" s="73"/>
      <c r="F27" s="73"/>
      <c r="G27" s="146"/>
      <c r="H27" s="146"/>
      <c r="I27" s="146"/>
      <c r="J27" s="71"/>
      <c r="K27" s="74"/>
      <c r="L27" s="74"/>
      <c r="M27" s="74"/>
    </row>
    <row r="28" spans="1:27" ht="12.75">
      <c r="A28" s="239" t="str">
        <f>IF(AND(E28=0,C28=0,D28=0,K28=0),"X","M")</f>
        <v>M</v>
      </c>
      <c r="B28" s="239">
        <f>IF(AND(E28=0,C28=0,D28=0,(OR(K28=0,K28="New")),F28=0)," ",(+B21+1))</f>
        <v>2</v>
      </c>
      <c r="C28" s="252" t="s">
        <v>945</v>
      </c>
      <c r="D28" s="252" t="s">
        <v>946</v>
      </c>
      <c r="E28" s="253"/>
      <c r="F28" s="253"/>
      <c r="G28" s="243"/>
      <c r="H28" s="243"/>
      <c r="I28" s="243"/>
      <c r="J28" s="244"/>
      <c r="K28" s="245"/>
      <c r="L28" s="245"/>
      <c r="M28" s="246"/>
      <c r="AA28" s="35">
        <f>B28</f>
        <v>2</v>
      </c>
    </row>
    <row r="29" spans="1:28" ht="12.75">
      <c r="A29" s="57" t="str">
        <f>IF(B29=" ","X","Y")</f>
        <v>Y</v>
      </c>
      <c r="B29" s="35">
        <f>IF(B28=" ",B28,(IF(G29="","",(B28+0.1))))</f>
      </c>
      <c r="C29" s="72"/>
      <c r="D29" s="72"/>
      <c r="E29" s="73"/>
      <c r="F29" s="73"/>
      <c r="G29" s="146"/>
      <c r="H29" s="146"/>
      <c r="I29" s="146"/>
      <c r="J29" s="70"/>
      <c r="K29" s="73"/>
      <c r="L29" s="74"/>
      <c r="M29" s="247"/>
      <c r="AB29" s="35">
        <f>IF(B29="","",AA27)</f>
      </c>
    </row>
    <row r="30" spans="1:28" ht="12.75">
      <c r="A30" s="57" t="str">
        <f>IF(B30=" ","X","Y")</f>
        <v>Y</v>
      </c>
      <c r="B30" s="35">
        <f>IF(B29=" ",B29,(IF(G30="","",(B29+0.1))))</f>
      </c>
      <c r="C30" s="72"/>
      <c r="D30" s="72"/>
      <c r="E30" s="73"/>
      <c r="F30" s="73"/>
      <c r="G30" s="146"/>
      <c r="H30" s="146"/>
      <c r="I30" s="146"/>
      <c r="J30" s="70"/>
      <c r="K30" s="73"/>
      <c r="L30" s="74"/>
      <c r="M30" s="247"/>
      <c r="AB30" s="35">
        <f>IF(B30="","",AA27)</f>
      </c>
    </row>
    <row r="31" spans="1:28" ht="12.75">
      <c r="A31" s="57" t="str">
        <f>IF(B31=" ","X","Y")</f>
        <v>Y</v>
      </c>
      <c r="B31" s="35">
        <f>IF(B30=" ",B30,(IF(G31="","",(B30+0.1))))</f>
      </c>
      <c r="C31" s="72"/>
      <c r="D31" s="72"/>
      <c r="E31" s="73"/>
      <c r="F31" s="73"/>
      <c r="G31" s="146"/>
      <c r="H31" s="146"/>
      <c r="I31" s="146"/>
      <c r="J31" s="70"/>
      <c r="K31" s="73"/>
      <c r="L31" s="74"/>
      <c r="M31" s="247"/>
      <c r="AB31" s="35">
        <f>IF(B31="","",AA27)</f>
      </c>
    </row>
    <row r="32" spans="1:28" ht="13.5" thickBot="1">
      <c r="A32" s="58" t="str">
        <f>IF(B32=" ","X","Y")</f>
        <v>Y</v>
      </c>
      <c r="B32" s="254">
        <f>IF(B31=" ",B31,(IF(G32="","",(B31+0.1))))</f>
      </c>
      <c r="C32" s="248"/>
      <c r="D32" s="248"/>
      <c r="E32" s="249"/>
      <c r="F32" s="249"/>
      <c r="G32" s="147"/>
      <c r="H32" s="147"/>
      <c r="I32" s="147"/>
      <c r="J32" s="76"/>
      <c r="K32" s="249"/>
      <c r="L32" s="255"/>
      <c r="M32" s="251"/>
      <c r="AB32" s="35">
        <f>IF(B32="","",AA27)</f>
      </c>
    </row>
    <row r="33" spans="1:13" ht="13.5" thickBot="1">
      <c r="A33" s="55"/>
      <c r="B33" s="54"/>
      <c r="C33" s="72"/>
      <c r="D33" s="72"/>
      <c r="E33" s="73"/>
      <c r="F33" s="73"/>
      <c r="G33" s="146"/>
      <c r="H33" s="146"/>
      <c r="I33" s="146"/>
      <c r="J33" s="73"/>
      <c r="K33" s="73"/>
      <c r="L33" s="73"/>
      <c r="M33" s="73"/>
    </row>
    <row r="34" spans="1:28" ht="12.75">
      <c r="A34" s="56" t="str">
        <f>IF(AND(E34=0,C34=0,D34=0,K34=0),"X","M")</f>
        <v>X</v>
      </c>
      <c r="B34" s="56" t="str">
        <f>IF(AND(E34=0,C34=0,D34=0,(OR(K34=0,K34="New")),F34=0)," ",(+B27+1))</f>
        <v> </v>
      </c>
      <c r="C34" s="65"/>
      <c r="D34" s="65"/>
      <c r="E34" s="66"/>
      <c r="F34" s="66"/>
      <c r="G34" s="156"/>
      <c r="H34" s="156"/>
      <c r="I34" s="156"/>
      <c r="J34" s="67"/>
      <c r="K34" s="68"/>
      <c r="L34" s="68"/>
      <c r="M34" s="81"/>
      <c r="AA34" t="str">
        <f>B34</f>
        <v> </v>
      </c>
      <c r="AB34"/>
    </row>
    <row r="35" spans="1:28" ht="12.75">
      <c r="A35" s="57" t="str">
        <f>IF(B35=" ","X","Y")</f>
        <v>X</v>
      </c>
      <c r="B35" t="str">
        <f>IF(B34=" ",B34,(IF(G35="","",(B34+0.1))))</f>
        <v> </v>
      </c>
      <c r="C35" s="152"/>
      <c r="D35" s="152"/>
      <c r="E35" s="153"/>
      <c r="F35" s="153"/>
      <c r="G35" s="146"/>
      <c r="H35" s="146"/>
      <c r="I35" s="146"/>
      <c r="J35" s="70"/>
      <c r="K35" s="153"/>
      <c r="L35" s="161"/>
      <c r="M35" s="157"/>
      <c r="AB35" t="str">
        <f>IF(B35="","",AA34)</f>
        <v> </v>
      </c>
    </row>
    <row r="36" spans="1:28" ht="12.75">
      <c r="A36" s="57" t="str">
        <f>IF(B36=" ","X","Y")</f>
        <v>X</v>
      </c>
      <c r="B36" t="str">
        <f>IF(B35=" ",B35,(IF(G36="","",(B35+0.1))))</f>
        <v> </v>
      </c>
      <c r="C36" s="152"/>
      <c r="D36" s="152"/>
      <c r="E36" s="153"/>
      <c r="F36" s="153"/>
      <c r="G36" s="146"/>
      <c r="H36" s="146"/>
      <c r="I36" s="146"/>
      <c r="J36" s="70"/>
      <c r="K36" s="153"/>
      <c r="L36" s="161"/>
      <c r="M36" s="157"/>
      <c r="AB36" t="str">
        <f>IF(B36="","",AA34)</f>
        <v> </v>
      </c>
    </row>
    <row r="37" spans="1:28" ht="12.75">
      <c r="A37" s="57" t="str">
        <f>IF(B37=" ","X","Y")</f>
        <v>X</v>
      </c>
      <c r="B37" t="str">
        <f>IF(B36=" ",B36,(IF(G37="","",(B36+0.1))))</f>
        <v> </v>
      </c>
      <c r="C37" s="152"/>
      <c r="D37" s="152"/>
      <c r="E37" s="153"/>
      <c r="F37" s="153"/>
      <c r="G37" s="146"/>
      <c r="H37" s="146"/>
      <c r="I37" s="146"/>
      <c r="J37" s="70"/>
      <c r="K37" s="153"/>
      <c r="L37" s="161"/>
      <c r="M37" s="157"/>
      <c r="AB37" t="str">
        <f>IF(B37="","",AA34)</f>
        <v> </v>
      </c>
    </row>
    <row r="38" spans="1:28" ht="12.75">
      <c r="A38" s="57" t="str">
        <f>IF(B38=" ","X","Y")</f>
        <v>X</v>
      </c>
      <c r="B38" t="str">
        <f>IF(B37=" ",B37,(IF(G38="","",(B37+0.1))))</f>
        <v> </v>
      </c>
      <c r="C38" s="152"/>
      <c r="D38" s="152"/>
      <c r="E38" s="153"/>
      <c r="F38" s="153"/>
      <c r="G38" s="146"/>
      <c r="H38" s="146"/>
      <c r="I38" s="146"/>
      <c r="J38" s="70"/>
      <c r="K38" s="153"/>
      <c r="L38" s="161"/>
      <c r="M38" s="157"/>
      <c r="AB38" t="str">
        <f>IF(B38="","",AA34)</f>
        <v> </v>
      </c>
    </row>
    <row r="39" spans="1:28" ht="13.5" thickBot="1">
      <c r="A39" s="58" t="str">
        <f>IF(B39=" ","X","Y")</f>
        <v>X</v>
      </c>
      <c r="B39" s="95" t="str">
        <f>IF(B38=" ",B38,(IF(G39="","",(B38+0.1))))</f>
        <v> </v>
      </c>
      <c r="C39" s="154"/>
      <c r="D39" s="154"/>
      <c r="E39" s="155"/>
      <c r="F39" s="155"/>
      <c r="G39" s="147"/>
      <c r="H39" s="147"/>
      <c r="I39" s="147"/>
      <c r="J39" s="76"/>
      <c r="K39" s="155"/>
      <c r="L39" s="160"/>
      <c r="M39" s="158"/>
      <c r="AB39" t="str">
        <f>IF(B39="","",AA34)</f>
        <v> </v>
      </c>
    </row>
    <row r="40" spans="1:13" ht="13.5" thickBot="1">
      <c r="A40" s="55"/>
      <c r="B40" s="54"/>
      <c r="C40" s="72"/>
      <c r="D40" s="72"/>
      <c r="E40" s="73"/>
      <c r="F40" s="73"/>
      <c r="G40" s="146"/>
      <c r="H40" s="146"/>
      <c r="I40" s="146"/>
      <c r="J40" s="73"/>
      <c r="K40" s="73"/>
      <c r="L40" s="73"/>
      <c r="M40" s="73"/>
    </row>
    <row r="41" spans="1:28" ht="12.75">
      <c r="A41" s="56" t="str">
        <f>IF(AND(E41=0,C41=0,D41=0,K41=0),"X","M")</f>
        <v>X</v>
      </c>
      <c r="B41" s="56" t="str">
        <f>IF(AND(E41=0,C41=0,D41=0,(OR(K41=0,K41="New")),F41=0)," ",(+B34+1))</f>
        <v> </v>
      </c>
      <c r="C41" s="65"/>
      <c r="D41" s="65"/>
      <c r="E41" s="66"/>
      <c r="F41" s="66"/>
      <c r="G41" s="156"/>
      <c r="H41" s="156"/>
      <c r="I41" s="156"/>
      <c r="J41" s="67"/>
      <c r="K41" s="68"/>
      <c r="L41" s="68"/>
      <c r="M41" s="81"/>
      <c r="AA41" t="str">
        <f>B41</f>
        <v> </v>
      </c>
      <c r="AB41"/>
    </row>
    <row r="42" spans="1:28" ht="12.75">
      <c r="A42" s="57" t="str">
        <f>IF(B42=" ","X","Y")</f>
        <v>X</v>
      </c>
      <c r="B42" t="str">
        <f>IF(B41=" ",B41,(IF(G42="","",(B41+0.1))))</f>
        <v> </v>
      </c>
      <c r="C42" s="152"/>
      <c r="D42" s="152"/>
      <c r="E42" s="153"/>
      <c r="F42" s="153"/>
      <c r="G42" s="146"/>
      <c r="H42" s="146"/>
      <c r="I42" s="146"/>
      <c r="J42" s="70"/>
      <c r="K42" s="153"/>
      <c r="L42" s="161"/>
      <c r="M42" s="157"/>
      <c r="AB42" t="str">
        <f>IF(B42="","",AA41)</f>
        <v> </v>
      </c>
    </row>
    <row r="43" spans="1:28" ht="12.75">
      <c r="A43" s="57" t="str">
        <f>IF(B43=" ","X","Y")</f>
        <v>X</v>
      </c>
      <c r="B43" t="str">
        <f>IF(B42=" ",B42,(IF(G43="","",(B42+0.1))))</f>
        <v> </v>
      </c>
      <c r="C43" s="152"/>
      <c r="D43" s="152"/>
      <c r="E43" s="153"/>
      <c r="F43" s="153"/>
      <c r="G43" s="146"/>
      <c r="H43" s="146"/>
      <c r="I43" s="146"/>
      <c r="J43" s="70"/>
      <c r="K43" s="153"/>
      <c r="L43" s="161"/>
      <c r="M43" s="157"/>
      <c r="AB43" t="str">
        <f>IF(B43="","",AA41)</f>
        <v> </v>
      </c>
    </row>
    <row r="44" spans="1:28" ht="12.75">
      <c r="A44" s="57" t="str">
        <f>IF(B44=" ","X","Y")</f>
        <v>X</v>
      </c>
      <c r="B44" t="str">
        <f>IF(B43=" ",B43,(IF(G44="","",(B43+0.1))))</f>
        <v> </v>
      </c>
      <c r="C44" s="152"/>
      <c r="D44" s="152"/>
      <c r="E44" s="153"/>
      <c r="F44" s="153"/>
      <c r="G44" s="146"/>
      <c r="H44" s="146"/>
      <c r="I44" s="146"/>
      <c r="J44" s="70"/>
      <c r="K44" s="153"/>
      <c r="L44" s="161"/>
      <c r="M44" s="157"/>
      <c r="AB44" t="str">
        <f>IF(B44="","",AA41)</f>
        <v> </v>
      </c>
    </row>
    <row r="45" spans="1:28" ht="12.75">
      <c r="A45" s="57" t="str">
        <f>IF(B45=" ","X","Y")</f>
        <v>X</v>
      </c>
      <c r="B45" t="str">
        <f>IF(B44=" ",B44,(IF(G45="","",(B44+0.1))))</f>
        <v> </v>
      </c>
      <c r="C45" s="152"/>
      <c r="D45" s="152"/>
      <c r="E45" s="153"/>
      <c r="F45" s="153"/>
      <c r="G45" s="146"/>
      <c r="H45" s="146"/>
      <c r="I45" s="146"/>
      <c r="J45" s="70"/>
      <c r="K45" s="153"/>
      <c r="L45" s="161"/>
      <c r="M45" s="157"/>
      <c r="AB45" t="str">
        <f>IF(B45="","",AA41)</f>
        <v> </v>
      </c>
    </row>
    <row r="46" spans="1:28" ht="13.5" thickBot="1">
      <c r="A46" s="58" t="str">
        <f>IF(B46=" ","X","Y")</f>
        <v>X</v>
      </c>
      <c r="B46" s="95" t="str">
        <f>IF(B45=" ",B45,(IF(G46="","",(B45+0.1))))</f>
        <v> </v>
      </c>
      <c r="C46" s="154"/>
      <c r="D46" s="154"/>
      <c r="E46" s="155"/>
      <c r="F46" s="155"/>
      <c r="G46" s="147"/>
      <c r="H46" s="147"/>
      <c r="I46" s="147"/>
      <c r="J46" s="76"/>
      <c r="K46" s="155"/>
      <c r="L46" s="160"/>
      <c r="M46" s="158"/>
      <c r="AB46" t="str">
        <f>IF(B46="","",AA41)</f>
        <v> </v>
      </c>
    </row>
    <row r="47" spans="1:13" ht="13.5" thickBot="1">
      <c r="A47" s="55"/>
      <c r="B47" s="54"/>
      <c r="C47" s="72"/>
      <c r="D47" s="72"/>
      <c r="E47" s="73"/>
      <c r="F47" s="73"/>
      <c r="G47" s="146"/>
      <c r="H47" s="146"/>
      <c r="I47" s="146"/>
      <c r="J47" s="73"/>
      <c r="K47" s="73"/>
      <c r="L47" s="73"/>
      <c r="M47" s="73"/>
    </row>
    <row r="48" spans="1:27" ht="12.75">
      <c r="A48" s="56" t="str">
        <f>IF(AND(E48=0,C48=0,D48=0,K48=0),"X","M")</f>
        <v>X</v>
      </c>
      <c r="B48" s="56" t="str">
        <f>IF(AND(E48=0,C48=0,D48=0,(OR(K48=0,K48="New")),F48=0)," ",(+B41+1))</f>
        <v> </v>
      </c>
      <c r="C48" s="65"/>
      <c r="D48" s="65"/>
      <c r="E48" s="66"/>
      <c r="F48" s="66"/>
      <c r="G48" s="156"/>
      <c r="H48" s="156"/>
      <c r="I48" s="156"/>
      <c r="J48" s="67"/>
      <c r="K48" s="68"/>
      <c r="L48" s="68"/>
      <c r="M48" s="81"/>
      <c r="AA48" t="str">
        <f>B48</f>
        <v> </v>
      </c>
    </row>
    <row r="49" spans="1:28" ht="12.75">
      <c r="A49" s="57" t="str">
        <f>IF(B49=" ","X","Y")</f>
        <v>X</v>
      </c>
      <c r="B49" t="str">
        <f>IF(B48=" ",B48,(IF(G49="","",(B48+0.1))))</f>
        <v> </v>
      </c>
      <c r="C49" s="152"/>
      <c r="D49" s="152"/>
      <c r="E49" s="153"/>
      <c r="F49" s="153"/>
      <c r="G49" s="146"/>
      <c r="H49" s="146"/>
      <c r="I49" s="146"/>
      <c r="J49" s="70"/>
      <c r="K49" s="153"/>
      <c r="L49" s="161"/>
      <c r="M49" s="157"/>
      <c r="AB49" t="str">
        <f>IF(B49="","",AA48)</f>
        <v> </v>
      </c>
    </row>
    <row r="50" spans="1:28" ht="12.75">
      <c r="A50" s="57" t="str">
        <f>IF(B50=" ","X","Y")</f>
        <v>X</v>
      </c>
      <c r="B50" t="str">
        <f>IF(B49=" ",B49,(IF(G50="","",(B49+0.1))))</f>
        <v> </v>
      </c>
      <c r="C50" s="152"/>
      <c r="D50" s="152"/>
      <c r="E50" s="153"/>
      <c r="F50" s="153"/>
      <c r="G50" s="146"/>
      <c r="H50" s="146"/>
      <c r="I50" s="146"/>
      <c r="J50" s="70"/>
      <c r="K50" s="153"/>
      <c r="L50" s="161"/>
      <c r="M50" s="157"/>
      <c r="AB50" t="str">
        <f>IF(B50="","",AA48)</f>
        <v> </v>
      </c>
    </row>
    <row r="51" spans="1:28" ht="12.75">
      <c r="A51" s="57" t="str">
        <f>IF(B51=" ","X","Y")</f>
        <v>X</v>
      </c>
      <c r="B51" t="str">
        <f>IF(B50=" ",B50,(IF(G51="","",(B50+0.1))))</f>
        <v> </v>
      </c>
      <c r="C51" s="152"/>
      <c r="D51" s="152"/>
      <c r="E51" s="153"/>
      <c r="F51" s="153"/>
      <c r="G51" s="146"/>
      <c r="H51" s="146"/>
      <c r="I51" s="146"/>
      <c r="J51" s="70"/>
      <c r="K51" s="153"/>
      <c r="L51" s="161"/>
      <c r="M51" s="157"/>
      <c r="AB51" t="str">
        <f>IF(B51="","",AA48)</f>
        <v> </v>
      </c>
    </row>
    <row r="52" spans="1:28" ht="12.75">
      <c r="A52" s="57" t="str">
        <f>IF(B52=" ","X","Y")</f>
        <v>X</v>
      </c>
      <c r="B52" t="str">
        <f>IF(B51=" ",B51,(IF(G52="","",(B51+0.1))))</f>
        <v> </v>
      </c>
      <c r="C52" s="152"/>
      <c r="D52" s="152"/>
      <c r="E52" s="153"/>
      <c r="F52" s="153"/>
      <c r="G52" s="146"/>
      <c r="H52" s="146"/>
      <c r="I52" s="146"/>
      <c r="J52" s="70"/>
      <c r="K52" s="153"/>
      <c r="L52" s="161"/>
      <c r="M52" s="157"/>
      <c r="AB52" t="str">
        <f>IF(B52="","",AA48)</f>
        <v> </v>
      </c>
    </row>
    <row r="53" spans="1:28" ht="13.5" thickBot="1">
      <c r="A53" s="58" t="str">
        <f>IF(B53=" ","X","Y")</f>
        <v>X</v>
      </c>
      <c r="B53" s="95" t="str">
        <f>IF(B52=" ",B52,(IF(G53="","",(B52+0.1))))</f>
        <v> </v>
      </c>
      <c r="C53" s="154"/>
      <c r="D53" s="154"/>
      <c r="E53" s="155"/>
      <c r="F53" s="155"/>
      <c r="G53" s="147"/>
      <c r="H53" s="147"/>
      <c r="I53" s="147"/>
      <c r="J53" s="76"/>
      <c r="K53" s="155"/>
      <c r="L53" s="160"/>
      <c r="M53" s="158"/>
      <c r="AB53" t="str">
        <f>IF(B53="","",AA48)</f>
        <v> </v>
      </c>
    </row>
    <row r="54" spans="1:13" ht="13.5" thickBot="1">
      <c r="A54" s="55"/>
      <c r="B54" s="54"/>
      <c r="C54" s="72"/>
      <c r="D54" s="72"/>
      <c r="E54" s="73"/>
      <c r="F54" s="73"/>
      <c r="G54" s="146"/>
      <c r="H54" s="146"/>
      <c r="I54" s="146"/>
      <c r="J54" s="73"/>
      <c r="K54" s="73"/>
      <c r="L54" s="73"/>
      <c r="M54" s="73"/>
    </row>
    <row r="55" spans="1:27" ht="12.75">
      <c r="A55" s="56" t="str">
        <f>IF(AND(E55=0,C55=0,D55=0,K55=0),"X","M")</f>
        <v>X</v>
      </c>
      <c r="B55" s="56" t="str">
        <f>IF(AND(E55=0,C55=0,D55=0,(OR(K55=0,K55="New")),F55=0)," ",(+B48+1))</f>
        <v> </v>
      </c>
      <c r="C55" s="65"/>
      <c r="D55" s="65"/>
      <c r="E55" s="66"/>
      <c r="F55" s="66"/>
      <c r="G55" s="156"/>
      <c r="H55" s="156"/>
      <c r="I55" s="156"/>
      <c r="J55" s="67"/>
      <c r="K55" s="68"/>
      <c r="L55" s="68"/>
      <c r="M55" s="81"/>
      <c r="AA55" t="str">
        <f>B55</f>
        <v> </v>
      </c>
    </row>
    <row r="56" spans="1:28" ht="12.75">
      <c r="A56" s="57" t="str">
        <f>IF(B56=" ","X","Y")</f>
        <v>X</v>
      </c>
      <c r="B56" t="str">
        <f>IF(B55=" ",B55,(IF(G56="","",(B55+0.1))))</f>
        <v> </v>
      </c>
      <c r="C56" s="152"/>
      <c r="D56" s="152"/>
      <c r="E56" s="153"/>
      <c r="F56" s="153"/>
      <c r="G56" s="146"/>
      <c r="H56" s="146"/>
      <c r="I56" s="146"/>
      <c r="J56" s="70"/>
      <c r="K56" s="153"/>
      <c r="L56" s="161"/>
      <c r="M56" s="157"/>
      <c r="AB56" t="str">
        <f>IF(B56="","",AA55)</f>
        <v> </v>
      </c>
    </row>
    <row r="57" spans="1:28" ht="12.75">
      <c r="A57" s="57" t="str">
        <f>IF(B57=" ","X","Y")</f>
        <v>X</v>
      </c>
      <c r="B57" t="str">
        <f>IF(B56=" ",B56,(IF(G57="","",(B56+0.1))))</f>
        <v> </v>
      </c>
      <c r="C57" s="152"/>
      <c r="D57" s="152"/>
      <c r="E57" s="153"/>
      <c r="F57" s="153"/>
      <c r="G57" s="146"/>
      <c r="H57" s="146"/>
      <c r="I57" s="146"/>
      <c r="J57" s="70"/>
      <c r="K57" s="153"/>
      <c r="L57" s="161"/>
      <c r="M57" s="157"/>
      <c r="AB57" t="str">
        <f>IF(B57="","",AA55)</f>
        <v> </v>
      </c>
    </row>
    <row r="58" spans="1:28" ht="12.75">
      <c r="A58" s="57" t="str">
        <f>IF(B58=" ","X","Y")</f>
        <v>X</v>
      </c>
      <c r="B58" t="str">
        <f>IF(B57=" ",B57,(IF(G58="","",(B57+0.1))))</f>
        <v> </v>
      </c>
      <c r="C58" s="152"/>
      <c r="D58" s="152"/>
      <c r="E58" s="153"/>
      <c r="F58" s="153"/>
      <c r="G58" s="146"/>
      <c r="H58" s="146"/>
      <c r="I58" s="146"/>
      <c r="J58" s="70"/>
      <c r="K58" s="153"/>
      <c r="L58" s="161"/>
      <c r="M58" s="157"/>
      <c r="AB58" t="str">
        <f>IF(B58="","",AA55)</f>
        <v> </v>
      </c>
    </row>
    <row r="59" spans="1:28" ht="12.75">
      <c r="A59" s="57" t="str">
        <f>IF(B59=" ","X","Y")</f>
        <v>X</v>
      </c>
      <c r="B59" t="str">
        <f>IF(B58=" ",B58,(IF(G59="","",(B58+0.1))))</f>
        <v> </v>
      </c>
      <c r="C59" s="152"/>
      <c r="D59" s="152"/>
      <c r="E59" s="153"/>
      <c r="F59" s="153"/>
      <c r="G59" s="146"/>
      <c r="H59" s="146"/>
      <c r="I59" s="146"/>
      <c r="J59" s="70"/>
      <c r="K59" s="153"/>
      <c r="L59" s="161"/>
      <c r="M59" s="157"/>
      <c r="AB59" t="str">
        <f>IF(B59="","",AA55)</f>
        <v> </v>
      </c>
    </row>
    <row r="60" spans="1:28" ht="13.5" thickBot="1">
      <c r="A60" s="58" t="str">
        <f>IF(B60=" ","X","Y")</f>
        <v>X</v>
      </c>
      <c r="B60" s="95" t="str">
        <f>IF(B59=" ",B59,(IF(G60="","",(B59+0.1))))</f>
        <v> </v>
      </c>
      <c r="C60" s="154"/>
      <c r="D60" s="154"/>
      <c r="E60" s="155"/>
      <c r="F60" s="155"/>
      <c r="G60" s="147"/>
      <c r="H60" s="147"/>
      <c r="I60" s="147"/>
      <c r="J60" s="76"/>
      <c r="K60" s="155"/>
      <c r="L60" s="160"/>
      <c r="M60" s="158"/>
      <c r="AB60" t="str">
        <f>IF(B60="","",AA55)</f>
        <v> </v>
      </c>
    </row>
    <row r="61" spans="1:13" ht="13.5" thickBot="1">
      <c r="A61" s="55"/>
      <c r="B61" s="54"/>
      <c r="C61" s="72"/>
      <c r="D61" s="72"/>
      <c r="E61" s="73"/>
      <c r="F61" s="73"/>
      <c r="G61" s="146"/>
      <c r="H61" s="146"/>
      <c r="I61" s="146"/>
      <c r="J61" s="73"/>
      <c r="K61" s="73"/>
      <c r="L61" s="73"/>
      <c r="M61" s="73"/>
    </row>
    <row r="62" spans="1:27" ht="12.75">
      <c r="A62" s="56" t="str">
        <f>IF(AND(E62=0,C62=0,D62=0,K62=0),"X","M")</f>
        <v>X</v>
      </c>
      <c r="B62" s="56" t="str">
        <f>IF(AND(E62=0,C62=0,D62=0,(OR(K62=0,K62="New")),F62=0)," ",(+B55+1))</f>
        <v> </v>
      </c>
      <c r="C62" s="65"/>
      <c r="D62" s="65"/>
      <c r="E62" s="66"/>
      <c r="F62" s="66"/>
      <c r="G62" s="156"/>
      <c r="H62" s="156"/>
      <c r="I62" s="156"/>
      <c r="J62" s="67"/>
      <c r="K62" s="68"/>
      <c r="L62" s="68"/>
      <c r="M62" s="81"/>
      <c r="AA62" t="str">
        <f>B62</f>
        <v> </v>
      </c>
    </row>
    <row r="63" spans="1:28" ht="12.75">
      <c r="A63" s="57" t="str">
        <f>IF(B63=" ","X","Y")</f>
        <v>X</v>
      </c>
      <c r="B63" t="str">
        <f>IF(B62=" ",B62,(IF(G63="","",(B62+0.1))))</f>
        <v> </v>
      </c>
      <c r="C63" s="152"/>
      <c r="D63" s="152"/>
      <c r="E63" s="153"/>
      <c r="F63" s="153"/>
      <c r="G63" s="146"/>
      <c r="H63" s="146"/>
      <c r="I63" s="146"/>
      <c r="J63" s="70"/>
      <c r="K63" s="153"/>
      <c r="L63" s="161"/>
      <c r="M63" s="157"/>
      <c r="AB63" t="str">
        <f>IF(B63="","",AA62)</f>
        <v> </v>
      </c>
    </row>
    <row r="64" spans="1:28" ht="12.75">
      <c r="A64" s="57" t="str">
        <f>IF(B64=" ","X","Y")</f>
        <v>X</v>
      </c>
      <c r="B64" t="str">
        <f>IF(B63=" ",B63,(IF(G64="","",(B63+0.1))))</f>
        <v> </v>
      </c>
      <c r="C64" s="152"/>
      <c r="D64" s="152"/>
      <c r="E64" s="153"/>
      <c r="F64" s="153"/>
      <c r="G64" s="146"/>
      <c r="H64" s="146"/>
      <c r="I64" s="146"/>
      <c r="J64" s="70"/>
      <c r="K64" s="153"/>
      <c r="L64" s="161"/>
      <c r="M64" s="157"/>
      <c r="AB64" t="str">
        <f>IF(B64="","",AA62)</f>
        <v> </v>
      </c>
    </row>
    <row r="65" spans="1:28" ht="12.75">
      <c r="A65" s="57" t="str">
        <f>IF(B65=" ","X","Y")</f>
        <v>X</v>
      </c>
      <c r="B65" t="str">
        <f>IF(B64=" ",B64,(IF(G65="","",(B64+0.1))))</f>
        <v> </v>
      </c>
      <c r="C65" s="152"/>
      <c r="D65" s="152"/>
      <c r="E65" s="153"/>
      <c r="F65" s="153"/>
      <c r="G65" s="146"/>
      <c r="H65" s="146"/>
      <c r="I65" s="146"/>
      <c r="J65" s="70"/>
      <c r="K65" s="153"/>
      <c r="L65" s="161"/>
      <c r="M65" s="157"/>
      <c r="AB65" t="str">
        <f>IF(B65="","",AA62)</f>
        <v> </v>
      </c>
    </row>
    <row r="66" spans="1:28" ht="12.75">
      <c r="A66" s="57" t="str">
        <f>IF(B66=" ","X","Y")</f>
        <v>X</v>
      </c>
      <c r="B66" t="str">
        <f>IF(B65=" ",B65,(IF(G66="","",(B65+0.1))))</f>
        <v> </v>
      </c>
      <c r="C66" s="152"/>
      <c r="D66" s="152"/>
      <c r="E66" s="153"/>
      <c r="F66" s="153"/>
      <c r="G66" s="146"/>
      <c r="H66" s="146"/>
      <c r="I66" s="146"/>
      <c r="J66" s="70"/>
      <c r="K66" s="153"/>
      <c r="L66" s="161"/>
      <c r="M66" s="157"/>
      <c r="AB66" t="str">
        <f>IF(B66="","",AA62)</f>
        <v> </v>
      </c>
    </row>
    <row r="67" spans="1:28" ht="13.5" thickBot="1">
      <c r="A67" s="58" t="str">
        <f>IF(B67=" ","X","Y")</f>
        <v>X</v>
      </c>
      <c r="B67" s="95" t="str">
        <f>IF(B66=" ",B66,(IF(G67="","",(B66+0.1))))</f>
        <v> </v>
      </c>
      <c r="C67" s="154"/>
      <c r="D67" s="154"/>
      <c r="E67" s="155"/>
      <c r="F67" s="155"/>
      <c r="G67" s="147"/>
      <c r="H67" s="147"/>
      <c r="I67" s="147"/>
      <c r="J67" s="76"/>
      <c r="K67" s="155"/>
      <c r="L67" s="160"/>
      <c r="M67" s="158"/>
      <c r="AB67" t="str">
        <f>IF(B67="","",AA62)</f>
        <v> </v>
      </c>
    </row>
    <row r="68" spans="1:13" ht="13.5" thickBot="1">
      <c r="A68" s="55"/>
      <c r="B68" s="54"/>
      <c r="C68" s="72"/>
      <c r="D68" s="72"/>
      <c r="E68" s="73"/>
      <c r="F68" s="73"/>
      <c r="G68" s="146"/>
      <c r="H68" s="146"/>
      <c r="I68" s="146"/>
      <c r="J68" s="73"/>
      <c r="K68" s="73"/>
      <c r="L68" s="73"/>
      <c r="M68" s="73"/>
    </row>
    <row r="69" spans="1:27" ht="12.75">
      <c r="A69" s="56" t="str">
        <f>IF(AND(E69=0,C69=0,D69=0,K69=0),"X","M")</f>
        <v>X</v>
      </c>
      <c r="B69" s="56" t="str">
        <f>IF(AND(E69=0,C69=0,D69=0,(OR(K69=0,K69="New")),F69=0)," ",(+B62+1))</f>
        <v> </v>
      </c>
      <c r="C69" s="65"/>
      <c r="D69" s="65"/>
      <c r="E69" s="66"/>
      <c r="F69" s="66"/>
      <c r="G69" s="156"/>
      <c r="H69" s="156"/>
      <c r="I69" s="156"/>
      <c r="J69" s="67"/>
      <c r="K69" s="68"/>
      <c r="L69" s="68"/>
      <c r="M69" s="81"/>
      <c r="AA69" t="str">
        <f>B69</f>
        <v> </v>
      </c>
    </row>
    <row r="70" spans="1:28" ht="12.75">
      <c r="A70" s="57" t="str">
        <f>IF(B70=" ","X","Y")</f>
        <v>X</v>
      </c>
      <c r="B70" t="str">
        <f>IF(B69=" ",B69,(IF(G70="","",(B69+0.1))))</f>
        <v> </v>
      </c>
      <c r="C70" s="152"/>
      <c r="D70" s="152"/>
      <c r="E70" s="153"/>
      <c r="F70" s="153"/>
      <c r="G70" s="146"/>
      <c r="H70" s="146"/>
      <c r="I70" s="146"/>
      <c r="J70" s="70"/>
      <c r="K70" s="153"/>
      <c r="L70" s="161"/>
      <c r="M70" s="157"/>
      <c r="AB70" t="str">
        <f>IF(B70="","",AA69)</f>
        <v> </v>
      </c>
    </row>
    <row r="71" spans="1:28" ht="12.75">
      <c r="A71" s="57" t="str">
        <f>IF(B71=" ","X","Y")</f>
        <v>X</v>
      </c>
      <c r="B71" t="str">
        <f>IF(B70=" ",B70,(IF(G71="","",(B70+0.1))))</f>
        <v> </v>
      </c>
      <c r="C71" s="152"/>
      <c r="D71" s="152"/>
      <c r="E71" s="153"/>
      <c r="F71" s="153"/>
      <c r="G71" s="146"/>
      <c r="H71" s="146"/>
      <c r="I71" s="146"/>
      <c r="J71" s="70"/>
      <c r="K71" s="153"/>
      <c r="L71" s="161"/>
      <c r="M71" s="157"/>
      <c r="AB71" t="str">
        <f>IF(B71="","",AA69)</f>
        <v> </v>
      </c>
    </row>
    <row r="72" spans="1:28" ht="12.75">
      <c r="A72" s="57" t="str">
        <f>IF(B72=" ","X","Y")</f>
        <v>X</v>
      </c>
      <c r="B72" t="str">
        <f>IF(B71=" ",B71,(IF(G72="","",(B71+0.1))))</f>
        <v> </v>
      </c>
      <c r="C72" s="152"/>
      <c r="D72" s="152"/>
      <c r="E72" s="153"/>
      <c r="F72" s="153"/>
      <c r="G72" s="146"/>
      <c r="H72" s="146"/>
      <c r="I72" s="146"/>
      <c r="J72" s="70"/>
      <c r="K72" s="153"/>
      <c r="L72" s="161"/>
      <c r="M72" s="157"/>
      <c r="AB72" t="str">
        <f>IF(B72="","",AA69)</f>
        <v> </v>
      </c>
    </row>
    <row r="73" spans="1:28" ht="12.75">
      <c r="A73" s="57" t="str">
        <f>IF(B73=" ","X","Y")</f>
        <v>X</v>
      </c>
      <c r="B73" t="str">
        <f>IF(B72=" ",B72,(IF(G73="","",(B72+0.1))))</f>
        <v> </v>
      </c>
      <c r="C73" s="152"/>
      <c r="D73" s="152"/>
      <c r="E73" s="153"/>
      <c r="F73" s="153"/>
      <c r="G73" s="146"/>
      <c r="H73" s="146"/>
      <c r="I73" s="146"/>
      <c r="J73" s="70"/>
      <c r="K73" s="153"/>
      <c r="L73" s="161"/>
      <c r="M73" s="157"/>
      <c r="AB73" t="str">
        <f>IF(B73="","",AA69)</f>
        <v> </v>
      </c>
    </row>
    <row r="74" spans="1:28" ht="13.5" thickBot="1">
      <c r="A74" s="58" t="str">
        <f>IF(B74=" ","X","Y")</f>
        <v>X</v>
      </c>
      <c r="B74" s="95" t="str">
        <f>IF(B73=" ",B73,(IF(G74="","",(B73+0.1))))</f>
        <v> </v>
      </c>
      <c r="C74" s="154"/>
      <c r="D74" s="154"/>
      <c r="E74" s="155"/>
      <c r="F74" s="155"/>
      <c r="G74" s="147"/>
      <c r="H74" s="147"/>
      <c r="I74" s="147"/>
      <c r="J74" s="76"/>
      <c r="K74" s="155"/>
      <c r="L74" s="160"/>
      <c r="M74" s="158"/>
      <c r="AB74" t="str">
        <f>IF(B74="","",AA69)</f>
        <v> </v>
      </c>
    </row>
    <row r="75" spans="1:13" ht="13.5" thickBot="1">
      <c r="A75" s="55"/>
      <c r="B75" s="54"/>
      <c r="C75" s="72"/>
      <c r="D75" s="72"/>
      <c r="E75" s="73"/>
      <c r="F75" s="73"/>
      <c r="G75" s="146"/>
      <c r="H75" s="146"/>
      <c r="I75" s="146"/>
      <c r="J75" s="73"/>
      <c r="K75" s="73"/>
      <c r="L75" s="73"/>
      <c r="M75" s="73"/>
    </row>
    <row r="76" spans="1:27" ht="12.75">
      <c r="A76" s="56" t="str">
        <f>IF(AND(E76=0,C76=0,D76=0,K76=0),"X","M")</f>
        <v>X</v>
      </c>
      <c r="B76" s="56" t="str">
        <f>IF(AND(E76=0,C76=0,D76=0,(OR(K76=0,K76="New")),F76=0)," ",(+B69+1))</f>
        <v> </v>
      </c>
      <c r="C76" s="65"/>
      <c r="D76" s="65"/>
      <c r="E76" s="66"/>
      <c r="F76" s="66"/>
      <c r="G76" s="156"/>
      <c r="H76" s="156"/>
      <c r="I76" s="156"/>
      <c r="J76" s="67"/>
      <c r="K76" s="68"/>
      <c r="L76" s="68"/>
      <c r="M76" s="81"/>
      <c r="AA76" t="str">
        <f>B76</f>
        <v> </v>
      </c>
    </row>
    <row r="77" spans="1:28" ht="12.75">
      <c r="A77" s="57" t="str">
        <f>IF(B77=" ","X","Y")</f>
        <v>X</v>
      </c>
      <c r="B77" t="str">
        <f>IF(B76=" ",B76,(IF(G77="","",(B76+0.1))))</f>
        <v> </v>
      </c>
      <c r="C77" s="152"/>
      <c r="D77" s="152"/>
      <c r="E77" s="153"/>
      <c r="F77" s="153"/>
      <c r="G77" s="146"/>
      <c r="H77" s="146"/>
      <c r="I77" s="146"/>
      <c r="J77" s="70"/>
      <c r="K77" s="153"/>
      <c r="L77" s="161"/>
      <c r="M77" s="157"/>
      <c r="AB77" t="str">
        <f>IF(B77="","",AA76)</f>
        <v> </v>
      </c>
    </row>
    <row r="78" spans="1:28" ht="12.75">
      <c r="A78" s="57" t="str">
        <f>IF(B78=" ","X","Y")</f>
        <v>X</v>
      </c>
      <c r="B78" t="str">
        <f>IF(B77=" ",B77,(IF(G78="","",(B77+0.1))))</f>
        <v> </v>
      </c>
      <c r="C78" s="152"/>
      <c r="D78" s="152"/>
      <c r="E78" s="153"/>
      <c r="F78" s="153"/>
      <c r="G78" s="146"/>
      <c r="H78" s="146"/>
      <c r="I78" s="146"/>
      <c r="J78" s="70"/>
      <c r="K78" s="153"/>
      <c r="L78" s="161"/>
      <c r="M78" s="157"/>
      <c r="AB78" t="str">
        <f>IF(B78="","",AA76)</f>
        <v> </v>
      </c>
    </row>
    <row r="79" spans="1:28" ht="12.75">
      <c r="A79" s="57" t="str">
        <f>IF(B79=" ","X","Y")</f>
        <v>X</v>
      </c>
      <c r="B79" t="str">
        <f>IF(B78=" ",B78,(IF(G79="","",(B78+0.1))))</f>
        <v> </v>
      </c>
      <c r="C79" s="152"/>
      <c r="D79" s="152"/>
      <c r="E79" s="153"/>
      <c r="F79" s="153"/>
      <c r="G79" s="146"/>
      <c r="H79" s="146"/>
      <c r="I79" s="146"/>
      <c r="J79" s="70"/>
      <c r="K79" s="153"/>
      <c r="L79" s="161"/>
      <c r="M79" s="157"/>
      <c r="AB79" t="str">
        <f>IF(B79="","",AA76)</f>
        <v> </v>
      </c>
    </row>
    <row r="80" spans="1:28" ht="12.75">
      <c r="A80" s="57" t="str">
        <f>IF(B80=" ","X","Y")</f>
        <v>X</v>
      </c>
      <c r="B80" t="str">
        <f>IF(B79=" ",B79,(IF(G80="","",(B79+0.1))))</f>
        <v> </v>
      </c>
      <c r="C80" s="152"/>
      <c r="D80" s="152"/>
      <c r="E80" s="153"/>
      <c r="F80" s="153"/>
      <c r="G80" s="146"/>
      <c r="H80" s="146"/>
      <c r="I80" s="146"/>
      <c r="J80" s="70"/>
      <c r="K80" s="153"/>
      <c r="L80" s="161"/>
      <c r="M80" s="157"/>
      <c r="AB80" t="str">
        <f>IF(B80="","",AA76)</f>
        <v> </v>
      </c>
    </row>
    <row r="81" spans="1:28" ht="13.5" thickBot="1">
      <c r="A81" s="58" t="str">
        <f>IF(B81=" ","X","Y")</f>
        <v>X</v>
      </c>
      <c r="B81" s="95" t="str">
        <f>IF(B80=" ",B80,(IF(G81="","",(B80+0.1))))</f>
        <v> </v>
      </c>
      <c r="C81" s="154"/>
      <c r="D81" s="154"/>
      <c r="E81" s="155"/>
      <c r="F81" s="155"/>
      <c r="G81" s="147"/>
      <c r="H81" s="147"/>
      <c r="I81" s="147"/>
      <c r="J81" s="76"/>
      <c r="K81" s="155"/>
      <c r="L81" s="160"/>
      <c r="M81" s="158"/>
      <c r="AB81" t="str">
        <f>IF(B81="","",AA76)</f>
        <v> </v>
      </c>
    </row>
    <row r="82" spans="1:13" ht="13.5" thickBot="1">
      <c r="A82" s="55"/>
      <c r="B82" s="54"/>
      <c r="C82" s="72"/>
      <c r="D82" s="72"/>
      <c r="E82" s="73"/>
      <c r="F82" s="73"/>
      <c r="G82" s="146"/>
      <c r="H82" s="146"/>
      <c r="I82" s="146"/>
      <c r="J82" s="73"/>
      <c r="K82" s="73"/>
      <c r="L82" s="73"/>
      <c r="M82" s="73"/>
    </row>
    <row r="83" spans="1:27" ht="12.75">
      <c r="A83" s="56" t="str">
        <f>IF(AND(E83=0,C83=0,D83=0,K83=0),"X","M")</f>
        <v>X</v>
      </c>
      <c r="B83" s="56" t="str">
        <f>IF(AND(E83=0,C83=0,D83=0,(OR(K83=0,K83="New")),F83=0)," ",(+B76+1))</f>
        <v> </v>
      </c>
      <c r="C83" s="65"/>
      <c r="D83" s="65"/>
      <c r="E83" s="66"/>
      <c r="F83" s="66"/>
      <c r="G83" s="156"/>
      <c r="H83" s="156"/>
      <c r="I83" s="156"/>
      <c r="J83" s="67"/>
      <c r="K83" s="68"/>
      <c r="L83" s="68"/>
      <c r="M83" s="81"/>
      <c r="AA83" t="str">
        <f>B83</f>
        <v> </v>
      </c>
    </row>
    <row r="84" spans="1:28" ht="12.75">
      <c r="A84" s="57" t="str">
        <f>IF(B84=" ","X","Y")</f>
        <v>X</v>
      </c>
      <c r="B84" t="str">
        <f>IF(B83=" ",B83,(IF(G84="","",(B83+0.1))))</f>
        <v> </v>
      </c>
      <c r="C84" s="152"/>
      <c r="D84" s="152"/>
      <c r="E84" s="153"/>
      <c r="F84" s="153"/>
      <c r="G84" s="146"/>
      <c r="H84" s="146"/>
      <c r="I84" s="146"/>
      <c r="J84" s="70"/>
      <c r="K84" s="153"/>
      <c r="L84" s="161"/>
      <c r="M84" s="157"/>
      <c r="AB84" t="str">
        <f>IF(B84="","",AA83)</f>
        <v> </v>
      </c>
    </row>
    <row r="85" spans="1:28" ht="12.75">
      <c r="A85" s="57" t="str">
        <f>IF(B85=" ","X","Y")</f>
        <v>X</v>
      </c>
      <c r="B85" t="str">
        <f>IF(B84=" ",B84,(IF(G85="","",(B84+0.1))))</f>
        <v> </v>
      </c>
      <c r="C85" s="152"/>
      <c r="D85" s="152"/>
      <c r="E85" s="153"/>
      <c r="F85" s="153"/>
      <c r="G85" s="146"/>
      <c r="H85" s="146"/>
      <c r="I85" s="146"/>
      <c r="J85" s="70"/>
      <c r="K85" s="153"/>
      <c r="L85" s="161"/>
      <c r="M85" s="157"/>
      <c r="AB85" t="str">
        <f>IF(B85="","",AA83)</f>
        <v> </v>
      </c>
    </row>
    <row r="86" spans="1:28" ht="12.75">
      <c r="A86" s="57" t="str">
        <f>IF(B86=" ","X","Y")</f>
        <v>X</v>
      </c>
      <c r="B86" t="str">
        <f>IF(B85=" ",B85,(IF(G86="","",(B85+0.1))))</f>
        <v> </v>
      </c>
      <c r="C86" s="152"/>
      <c r="D86" s="152"/>
      <c r="E86" s="153"/>
      <c r="F86" s="153"/>
      <c r="G86" s="146"/>
      <c r="H86" s="146"/>
      <c r="I86" s="146"/>
      <c r="J86" s="70"/>
      <c r="K86" s="153"/>
      <c r="L86" s="161"/>
      <c r="M86" s="157"/>
      <c r="AB86" t="str">
        <f>IF(B86="","",AA83)</f>
        <v> </v>
      </c>
    </row>
    <row r="87" spans="1:28" ht="12.75">
      <c r="A87" s="57" t="str">
        <f>IF(B87=" ","X","Y")</f>
        <v>X</v>
      </c>
      <c r="B87" t="str">
        <f>IF(B86=" ",B86,(IF(G87="","",(B86+0.1))))</f>
        <v> </v>
      </c>
      <c r="C87" s="152"/>
      <c r="D87" s="152"/>
      <c r="E87" s="153"/>
      <c r="F87" s="153"/>
      <c r="G87" s="146"/>
      <c r="H87" s="146"/>
      <c r="I87" s="146"/>
      <c r="J87" s="70"/>
      <c r="K87" s="153"/>
      <c r="L87" s="161"/>
      <c r="M87" s="157"/>
      <c r="AB87" t="str">
        <f>IF(B87="","",AA83)</f>
        <v> </v>
      </c>
    </row>
    <row r="88" spans="1:28" ht="13.5" thickBot="1">
      <c r="A88" s="58" t="str">
        <f>IF(B88=" ","X","Y")</f>
        <v>X</v>
      </c>
      <c r="B88" s="95" t="str">
        <f>IF(B87=" ",B87,(IF(G88="","",(B87+0.1))))</f>
        <v> </v>
      </c>
      <c r="C88" s="154"/>
      <c r="D88" s="154"/>
      <c r="E88" s="155"/>
      <c r="F88" s="155"/>
      <c r="G88" s="147"/>
      <c r="H88" s="147"/>
      <c r="I88" s="147"/>
      <c r="J88" s="76"/>
      <c r="K88" s="155"/>
      <c r="L88" s="160"/>
      <c r="M88" s="158"/>
      <c r="AB88" t="str">
        <f>IF(B88="","",AA83)</f>
        <v> </v>
      </c>
    </row>
    <row r="89" spans="1:13" ht="13.5" thickBot="1">
      <c r="A89" s="55"/>
      <c r="B89" s="54"/>
      <c r="C89" s="72"/>
      <c r="D89" s="72"/>
      <c r="E89" s="73"/>
      <c r="F89" s="73"/>
      <c r="G89" s="146"/>
      <c r="H89" s="146"/>
      <c r="I89" s="146"/>
      <c r="J89" s="73"/>
      <c r="K89" s="73"/>
      <c r="L89" s="73"/>
      <c r="M89" s="73"/>
    </row>
    <row r="90" spans="1:27" ht="12.75">
      <c r="A90" s="56" t="str">
        <f>IF(AND(E90=0,C90=0,D90=0,K90=0),"X","M")</f>
        <v>X</v>
      </c>
      <c r="B90" s="56" t="str">
        <f>IF(AND(E90=0,C90=0,D90=0,(OR(K90=0,K90="New")),F90=0)," ",(+B83+1))</f>
        <v> </v>
      </c>
      <c r="C90" s="65"/>
      <c r="D90" s="65"/>
      <c r="E90" s="66"/>
      <c r="F90" s="66"/>
      <c r="G90" s="156"/>
      <c r="H90" s="156"/>
      <c r="I90" s="156"/>
      <c r="J90" s="67"/>
      <c r="K90" s="68"/>
      <c r="L90" s="68"/>
      <c r="M90" s="81"/>
      <c r="AA90" t="str">
        <f>B90</f>
        <v> </v>
      </c>
    </row>
    <row r="91" spans="1:28" ht="12.75">
      <c r="A91" s="57" t="str">
        <f>IF(B91=" ","X","Y")</f>
        <v>X</v>
      </c>
      <c r="B91" t="str">
        <f>IF(B90=" ",B90,(IF(G91="","",(B90+0.1))))</f>
        <v> </v>
      </c>
      <c r="C91" s="152"/>
      <c r="D91" s="152"/>
      <c r="E91" s="153"/>
      <c r="F91" s="153"/>
      <c r="G91" s="146"/>
      <c r="H91" s="146"/>
      <c r="I91" s="146"/>
      <c r="J91" s="70"/>
      <c r="K91" s="153"/>
      <c r="L91" s="161"/>
      <c r="M91" s="157"/>
      <c r="AB91" t="str">
        <f>IF(B91="","",AA90)</f>
        <v> </v>
      </c>
    </row>
    <row r="92" spans="1:28" ht="12.75">
      <c r="A92" s="57" t="str">
        <f>IF(B92=" ","X","Y")</f>
        <v>X</v>
      </c>
      <c r="B92" t="str">
        <f>IF(B91=" ",B91,(IF(G92="","",(B91+0.1))))</f>
        <v> </v>
      </c>
      <c r="C92" s="152"/>
      <c r="D92" s="152"/>
      <c r="E92" s="153"/>
      <c r="F92" s="153"/>
      <c r="G92" s="146"/>
      <c r="H92" s="146"/>
      <c r="I92" s="146"/>
      <c r="J92" s="70"/>
      <c r="K92" s="153"/>
      <c r="L92" s="161"/>
      <c r="M92" s="157"/>
      <c r="AB92" t="str">
        <f>IF(B92="","",AA90)</f>
        <v> </v>
      </c>
    </row>
    <row r="93" spans="1:28" ht="12.75">
      <c r="A93" s="57" t="str">
        <f>IF(B93=" ","X","Y")</f>
        <v>X</v>
      </c>
      <c r="B93" t="str">
        <f>IF(B92=" ",B92,(IF(G93="","",(B92+0.1))))</f>
        <v> </v>
      </c>
      <c r="C93" s="152"/>
      <c r="D93" s="152"/>
      <c r="E93" s="153"/>
      <c r="F93" s="153"/>
      <c r="G93" s="146"/>
      <c r="H93" s="146"/>
      <c r="I93" s="146"/>
      <c r="J93" s="70"/>
      <c r="K93" s="153"/>
      <c r="L93" s="161"/>
      <c r="M93" s="157"/>
      <c r="AB93" t="str">
        <f>IF(B93="","",AA90)</f>
        <v> </v>
      </c>
    </row>
    <row r="94" spans="1:28" ht="12.75">
      <c r="A94" s="57" t="str">
        <f>IF(B94=" ","X","Y")</f>
        <v>X</v>
      </c>
      <c r="B94" t="str">
        <f>IF(B93=" ",B93,(IF(G94="","",(B93+0.1))))</f>
        <v> </v>
      </c>
      <c r="C94" s="152"/>
      <c r="D94" s="152"/>
      <c r="E94" s="153"/>
      <c r="F94" s="153"/>
      <c r="G94" s="146"/>
      <c r="H94" s="146"/>
      <c r="I94" s="146"/>
      <c r="J94" s="70"/>
      <c r="K94" s="153"/>
      <c r="L94" s="161"/>
      <c r="M94" s="157"/>
      <c r="AB94" t="str">
        <f>IF(B94="","",AA90)</f>
        <v> </v>
      </c>
    </row>
    <row r="95" spans="1:28" ht="13.5" thickBot="1">
      <c r="A95" s="58" t="str">
        <f>IF(B95=" ","X","Y")</f>
        <v>X</v>
      </c>
      <c r="B95" s="95" t="str">
        <f>IF(B94=" ",B94,(IF(G95="","",(B94+0.1))))</f>
        <v> </v>
      </c>
      <c r="C95" s="154"/>
      <c r="D95" s="154"/>
      <c r="E95" s="155"/>
      <c r="F95" s="155"/>
      <c r="G95" s="147"/>
      <c r="H95" s="147"/>
      <c r="I95" s="147"/>
      <c r="J95" s="76"/>
      <c r="K95" s="155"/>
      <c r="L95" s="160"/>
      <c r="M95" s="158"/>
      <c r="AB95" t="str">
        <f>IF(B95="","",AA90)</f>
        <v> </v>
      </c>
    </row>
    <row r="96" spans="1:13" ht="13.5" thickBot="1">
      <c r="A96" s="55"/>
      <c r="B96" s="54"/>
      <c r="C96" s="72"/>
      <c r="D96" s="72"/>
      <c r="E96" s="73"/>
      <c r="F96" s="73"/>
      <c r="G96" s="146"/>
      <c r="H96" s="146"/>
      <c r="I96" s="146"/>
      <c r="J96" s="73"/>
      <c r="K96" s="73"/>
      <c r="L96" s="73"/>
      <c r="M96" s="73"/>
    </row>
    <row r="97" spans="1:27" ht="12.75">
      <c r="A97" s="56" t="str">
        <f>IF(AND(E97=0,C97=0,D97=0,K97=0),"X","M")</f>
        <v>X</v>
      </c>
      <c r="B97" s="56" t="str">
        <f>IF(AND(E97=0,C97=0,D97=0,(OR(K97=0,K97="New")),F97=0)," ",(+B90+1))</f>
        <v> </v>
      </c>
      <c r="C97" s="65"/>
      <c r="D97" s="65"/>
      <c r="E97" s="66"/>
      <c r="F97" s="66"/>
      <c r="G97" s="156"/>
      <c r="H97" s="156"/>
      <c r="I97" s="156"/>
      <c r="J97" s="67"/>
      <c r="K97" s="68"/>
      <c r="L97" s="68"/>
      <c r="M97" s="81"/>
      <c r="AA97" t="str">
        <f>B97</f>
        <v> </v>
      </c>
    </row>
    <row r="98" spans="1:28" ht="12.75">
      <c r="A98" s="57" t="str">
        <f>IF(B98=" ","X","Y")</f>
        <v>X</v>
      </c>
      <c r="B98" t="str">
        <f>IF(B97=" ",B97,(IF(G98="","",(B97+0.1))))</f>
        <v> </v>
      </c>
      <c r="C98" s="152"/>
      <c r="D98" s="152"/>
      <c r="E98" s="153"/>
      <c r="F98" s="153"/>
      <c r="G98" s="146"/>
      <c r="H98" s="146"/>
      <c r="I98" s="146"/>
      <c r="J98" s="70"/>
      <c r="K98" s="153"/>
      <c r="L98" s="161"/>
      <c r="M98" s="157"/>
      <c r="AB98" t="str">
        <f>IF(B98="","",AA97)</f>
        <v> </v>
      </c>
    </row>
    <row r="99" spans="1:28" ht="12.75">
      <c r="A99" s="57" t="str">
        <f>IF(B99=" ","X","Y")</f>
        <v>X</v>
      </c>
      <c r="B99" t="str">
        <f>IF(B98=" ",B98,(IF(G99="","",(B98+0.1))))</f>
        <v> </v>
      </c>
      <c r="C99" s="152"/>
      <c r="D99" s="152"/>
      <c r="E99" s="153"/>
      <c r="F99" s="153"/>
      <c r="G99" s="146"/>
      <c r="H99" s="146"/>
      <c r="I99" s="146"/>
      <c r="J99" s="70"/>
      <c r="K99" s="153"/>
      <c r="L99" s="161"/>
      <c r="M99" s="157"/>
      <c r="AB99" t="str">
        <f>IF(B99="","",AA97)</f>
        <v> </v>
      </c>
    </row>
    <row r="100" spans="1:28" ht="12.75">
      <c r="A100" s="57" t="str">
        <f>IF(B100=" ","X","Y")</f>
        <v>X</v>
      </c>
      <c r="B100" t="str">
        <f>IF(B99=" ",B99,(IF(G100="","",(B99+0.1))))</f>
        <v> </v>
      </c>
      <c r="C100" s="152"/>
      <c r="D100" s="152"/>
      <c r="E100" s="153"/>
      <c r="F100" s="153"/>
      <c r="G100" s="146"/>
      <c r="H100" s="146"/>
      <c r="I100" s="146"/>
      <c r="J100" s="70"/>
      <c r="K100" s="153"/>
      <c r="L100" s="161"/>
      <c r="M100" s="157"/>
      <c r="AB100" t="str">
        <f>IF(B100="","",AA97)</f>
        <v> </v>
      </c>
    </row>
    <row r="101" spans="1:28" ht="12.75">
      <c r="A101" s="57" t="str">
        <f>IF(B101=" ","X","Y")</f>
        <v>X</v>
      </c>
      <c r="B101" t="str">
        <f>IF(B100=" ",B100,(IF(G101="","",(B100+0.1))))</f>
        <v> </v>
      </c>
      <c r="C101" s="152"/>
      <c r="D101" s="152"/>
      <c r="E101" s="153"/>
      <c r="F101" s="153"/>
      <c r="G101" s="146"/>
      <c r="H101" s="146"/>
      <c r="I101" s="146"/>
      <c r="J101" s="70"/>
      <c r="K101" s="153"/>
      <c r="L101" s="161"/>
      <c r="M101" s="157"/>
      <c r="AB101" t="str">
        <f>IF(B101="","",AA97)</f>
        <v> </v>
      </c>
    </row>
    <row r="102" spans="1:28" ht="13.5" thickBot="1">
      <c r="A102" s="58" t="str">
        <f>IF(B102=" ","X","Y")</f>
        <v>X</v>
      </c>
      <c r="B102" s="95" t="str">
        <f>IF(B101=" ",B101,(IF(G102="","",(B101+0.1))))</f>
        <v> </v>
      </c>
      <c r="C102" s="154"/>
      <c r="D102" s="154"/>
      <c r="E102" s="155"/>
      <c r="F102" s="155"/>
      <c r="G102" s="147"/>
      <c r="H102" s="147"/>
      <c r="I102" s="147"/>
      <c r="J102" s="76"/>
      <c r="K102" s="155"/>
      <c r="L102" s="160"/>
      <c r="M102" s="158"/>
      <c r="AB102" t="str">
        <f>IF(B102="","",AA97)</f>
        <v> </v>
      </c>
    </row>
    <row r="103" spans="1:13" ht="13.5" thickBot="1">
      <c r="A103" s="55"/>
      <c r="B103" s="54"/>
      <c r="C103" s="72"/>
      <c r="D103" s="72"/>
      <c r="E103" s="73"/>
      <c r="F103" s="73"/>
      <c r="G103" s="146"/>
      <c r="H103" s="146"/>
      <c r="I103" s="146"/>
      <c r="J103" s="73"/>
      <c r="K103" s="73"/>
      <c r="L103" s="73"/>
      <c r="M103" s="73"/>
    </row>
    <row r="104" spans="1:13" ht="13.5" customHeight="1">
      <c r="A104" s="56" t="str">
        <f>IF(AND(E104=0,C104=0,D104=0,K104=0),"X","M")</f>
        <v>X</v>
      </c>
      <c r="B104" s="56" t="str">
        <f>IF(AND(E104=0,C104=0,D104=0,(OR(K104=0,K104="New")),F104=0)," ",(+B97+1))</f>
        <v> </v>
      </c>
      <c r="C104" s="65"/>
      <c r="D104" s="65"/>
      <c r="E104" s="66"/>
      <c r="F104" s="66"/>
      <c r="G104" s="156"/>
      <c r="H104" s="156"/>
      <c r="I104" s="156"/>
      <c r="J104" s="67"/>
      <c r="K104" s="68"/>
      <c r="L104" s="68"/>
      <c r="M104" s="81"/>
    </row>
    <row r="105" spans="1:13" ht="12.75">
      <c r="A105" s="57" t="str">
        <f>IF(B105=" ","X","Y")</f>
        <v>X</v>
      </c>
      <c r="B105" t="str">
        <f>IF(B104=" ",B104,(IF(G105="","",(B104+0.1))))</f>
        <v> </v>
      </c>
      <c r="C105" s="152"/>
      <c r="D105" s="152"/>
      <c r="E105" s="153"/>
      <c r="F105" s="153"/>
      <c r="G105" s="146"/>
      <c r="H105" s="146"/>
      <c r="I105" s="146"/>
      <c r="J105" s="70"/>
      <c r="K105" s="153"/>
      <c r="L105" s="161"/>
      <c r="M105" s="157"/>
    </row>
    <row r="106" spans="1:13" ht="12.75">
      <c r="A106" s="57" t="str">
        <f>IF(B106=" ","X","Y")</f>
        <v>X</v>
      </c>
      <c r="B106" t="str">
        <f>IF(B105=" ",B105,(IF(G106="","",(B105+0.1))))</f>
        <v> </v>
      </c>
      <c r="C106" s="152"/>
      <c r="D106" s="152"/>
      <c r="E106" s="153"/>
      <c r="F106" s="153"/>
      <c r="G106" s="146"/>
      <c r="H106" s="146"/>
      <c r="I106" s="146"/>
      <c r="J106" s="70"/>
      <c r="K106" s="153"/>
      <c r="L106" s="161"/>
      <c r="M106" s="157"/>
    </row>
    <row r="107" spans="1:13" ht="12.75">
      <c r="A107" s="57" t="str">
        <f>IF(B107=" ","X","Y")</f>
        <v>X</v>
      </c>
      <c r="B107" t="str">
        <f>IF(B106=" ",B106,(IF(G107="","",(B106+0.1))))</f>
        <v> </v>
      </c>
      <c r="C107" s="152"/>
      <c r="D107" s="152"/>
      <c r="E107" s="153"/>
      <c r="F107" s="153"/>
      <c r="G107" s="146"/>
      <c r="H107" s="146"/>
      <c r="I107" s="146"/>
      <c r="J107" s="70"/>
      <c r="K107" s="153"/>
      <c r="L107" s="161"/>
      <c r="M107" s="157"/>
    </row>
    <row r="108" spans="1:13" ht="12.75">
      <c r="A108" s="57" t="str">
        <f>IF(B108=" ","X","Y")</f>
        <v>X</v>
      </c>
      <c r="B108" t="str">
        <f>IF(B107=" ",B107,(IF(G108="","",(B107+0.1))))</f>
        <v> </v>
      </c>
      <c r="C108" s="152"/>
      <c r="D108" s="152"/>
      <c r="E108" s="153"/>
      <c r="F108" s="153"/>
      <c r="G108" s="146"/>
      <c r="H108" s="146"/>
      <c r="I108" s="146"/>
      <c r="J108" s="70"/>
      <c r="K108" s="153"/>
      <c r="L108" s="161"/>
      <c r="M108" s="157"/>
    </row>
    <row r="109" spans="1:13" ht="13.5" thickBot="1">
      <c r="A109" s="58" t="str">
        <f>IF(B109=" ","X","Y")</f>
        <v>X</v>
      </c>
      <c r="B109" s="95" t="str">
        <f>IF(B108=" ",B108,(IF(G109="","",(B108+0.1))))</f>
        <v> </v>
      </c>
      <c r="C109" s="154"/>
      <c r="D109" s="154"/>
      <c r="E109" s="155"/>
      <c r="F109" s="155"/>
      <c r="G109" s="147"/>
      <c r="H109" s="147"/>
      <c r="I109" s="147"/>
      <c r="J109" s="76"/>
      <c r="K109" s="155"/>
      <c r="L109" s="160"/>
      <c r="M109" s="158"/>
    </row>
    <row r="110" spans="1:13" ht="12.75">
      <c r="A110" s="55"/>
      <c r="B110" s="54"/>
      <c r="C110" s="72"/>
      <c r="D110" s="72"/>
      <c r="E110" s="73"/>
      <c r="F110" s="73"/>
      <c r="G110" s="146"/>
      <c r="H110" s="146"/>
      <c r="I110" s="146"/>
      <c r="J110" s="73"/>
      <c r="K110" s="73"/>
      <c r="L110" s="73"/>
      <c r="M110" s="73"/>
    </row>
    <row r="111" spans="1:13" ht="12.75">
      <c r="A111" t="s">
        <v>35</v>
      </c>
      <c r="B111"/>
      <c r="C111"/>
      <c r="D111"/>
      <c r="E111"/>
      <c r="F111"/>
      <c r="G111" s="148"/>
      <c r="H111" s="148"/>
      <c r="I111" s="151"/>
      <c r="J111" s="53"/>
      <c r="K111" s="43"/>
      <c r="L111" s="43"/>
      <c r="M111" s="43"/>
    </row>
    <row r="112" spans="1:13" ht="12.75">
      <c r="A112"/>
      <c r="B112"/>
      <c r="C112"/>
      <c r="D112"/>
      <c r="E112"/>
      <c r="F112"/>
      <c r="G112" s="148"/>
      <c r="H112" s="148"/>
      <c r="I112" s="151"/>
      <c r="J112" s="53"/>
      <c r="K112" s="43"/>
      <c r="L112" s="43"/>
      <c r="M112" s="43"/>
    </row>
    <row r="113" spans="1:13" ht="12.75">
      <c r="A113"/>
      <c r="B113"/>
      <c r="C113"/>
      <c r="D113"/>
      <c r="E113"/>
      <c r="F113"/>
      <c r="G113" s="148"/>
      <c r="H113" s="148"/>
      <c r="I113" s="151"/>
      <c r="J113" s="53"/>
      <c r="K113" s="43"/>
      <c r="L113" s="43"/>
      <c r="M113" s="43"/>
    </row>
    <row r="114" spans="1:13" ht="12.75">
      <c r="A114"/>
      <c r="B114"/>
      <c r="C114"/>
      <c r="D114"/>
      <c r="E114"/>
      <c r="F114"/>
      <c r="G114" s="148"/>
      <c r="H114" s="148"/>
      <c r="I114" s="151"/>
      <c r="J114" s="53"/>
      <c r="K114" s="43"/>
      <c r="L114" s="43"/>
      <c r="M114" s="43"/>
    </row>
    <row r="115" spans="1:13" ht="12.75">
      <c r="A115"/>
      <c r="B115"/>
      <c r="C115"/>
      <c r="D115"/>
      <c r="E115"/>
      <c r="F115"/>
      <c r="G115" s="148"/>
      <c r="H115" s="148"/>
      <c r="I115" s="151"/>
      <c r="J115" s="53"/>
      <c r="K115" s="43"/>
      <c r="L115" s="43"/>
      <c r="M115" s="43"/>
    </row>
    <row r="116" spans="1:13" ht="12.75">
      <c r="A116"/>
      <c r="B116"/>
      <c r="C116"/>
      <c r="D116"/>
      <c r="E116"/>
      <c r="F116"/>
      <c r="G116" s="148"/>
      <c r="H116" s="148"/>
      <c r="I116" s="151"/>
      <c r="J116" s="53"/>
      <c r="K116" s="43"/>
      <c r="L116" s="43"/>
      <c r="M116" s="43"/>
    </row>
    <row r="117" spans="1:13" ht="12.75">
      <c r="A117"/>
      <c r="B117"/>
      <c r="C117"/>
      <c r="D117"/>
      <c r="E117"/>
      <c r="F117"/>
      <c r="G117" s="148"/>
      <c r="H117" s="148"/>
      <c r="I117" s="151"/>
      <c r="J117" s="53"/>
      <c r="K117"/>
      <c r="L117"/>
      <c r="M117"/>
    </row>
    <row r="118" spans="1:13" ht="12.75">
      <c r="A118"/>
      <c r="B118"/>
      <c r="C118"/>
      <c r="D118"/>
      <c r="E118"/>
      <c r="F118"/>
      <c r="G118" s="148"/>
      <c r="H118" s="148"/>
      <c r="I118" s="151"/>
      <c r="J118" s="53"/>
      <c r="K118"/>
      <c r="L118"/>
      <c r="M118"/>
    </row>
    <row r="119" spans="1:13" ht="12.75">
      <c r="A119"/>
      <c r="B119"/>
      <c r="C119"/>
      <c r="D119"/>
      <c r="E119"/>
      <c r="F119"/>
      <c r="G119" s="148"/>
      <c r="H119" s="148"/>
      <c r="I119" s="151"/>
      <c r="J119" s="53"/>
      <c r="K119"/>
      <c r="L119"/>
      <c r="M119"/>
    </row>
    <row r="120" spans="1:13" ht="12.75">
      <c r="A120"/>
      <c r="B120"/>
      <c r="C120"/>
      <c r="D120"/>
      <c r="E120"/>
      <c r="F120"/>
      <c r="G120" s="148"/>
      <c r="H120" s="148"/>
      <c r="I120" s="151"/>
      <c r="J120" s="53"/>
      <c r="K120"/>
      <c r="L120"/>
      <c r="M120"/>
    </row>
    <row r="121" spans="1:13" ht="12.75">
      <c r="A121"/>
      <c r="B121"/>
      <c r="C121"/>
      <c r="D121"/>
      <c r="E121"/>
      <c r="F121"/>
      <c r="G121" s="148"/>
      <c r="H121" s="148"/>
      <c r="I121" s="151"/>
      <c r="J121" s="53"/>
      <c r="K121"/>
      <c r="L121"/>
      <c r="M121"/>
    </row>
    <row r="122" spans="1:13" ht="12.75">
      <c r="A122"/>
      <c r="B122"/>
      <c r="C122"/>
      <c r="D122"/>
      <c r="E122"/>
      <c r="F122"/>
      <c r="G122" s="148"/>
      <c r="H122" s="148"/>
      <c r="I122" s="151"/>
      <c r="J122" s="53"/>
      <c r="K122"/>
      <c r="L122"/>
      <c r="M122"/>
    </row>
    <row r="123" spans="1:13" ht="12.75">
      <c r="A123"/>
      <c r="B123"/>
      <c r="C123"/>
      <c r="D123"/>
      <c r="E123"/>
      <c r="F123"/>
      <c r="G123" s="148"/>
      <c r="H123" s="148"/>
      <c r="I123" s="151"/>
      <c r="J123" s="53"/>
      <c r="K123"/>
      <c r="L123"/>
      <c r="M123"/>
    </row>
    <row r="124" spans="1:13" ht="12.75">
      <c r="A124"/>
      <c r="B124"/>
      <c r="C124"/>
      <c r="D124"/>
      <c r="E124"/>
      <c r="F124"/>
      <c r="G124" s="148"/>
      <c r="H124" s="148"/>
      <c r="I124" s="151"/>
      <c r="J124" s="53"/>
      <c r="K124"/>
      <c r="L124"/>
      <c r="M124"/>
    </row>
    <row r="125" spans="1:13" ht="12.75">
      <c r="A125"/>
      <c r="B125"/>
      <c r="C125"/>
      <c r="D125"/>
      <c r="E125"/>
      <c r="F125"/>
      <c r="G125" s="148"/>
      <c r="H125" s="148"/>
      <c r="I125" s="151"/>
      <c r="J125" s="53"/>
      <c r="K125"/>
      <c r="L125"/>
      <c r="M125"/>
    </row>
    <row r="126" spans="1:13" ht="12.75">
      <c r="A126"/>
      <c r="B126"/>
      <c r="C126"/>
      <c r="D126"/>
      <c r="E126"/>
      <c r="F126"/>
      <c r="G126" s="148"/>
      <c r="H126" s="148"/>
      <c r="I126" s="151"/>
      <c r="J126" s="53"/>
      <c r="K126"/>
      <c r="L126"/>
      <c r="M126"/>
    </row>
    <row r="127" spans="1:13" ht="12.75">
      <c r="A127"/>
      <c r="B127"/>
      <c r="C127"/>
      <c r="D127"/>
      <c r="E127"/>
      <c r="F127"/>
      <c r="G127" s="148"/>
      <c r="H127" s="148"/>
      <c r="I127" s="151"/>
      <c r="J127" s="53"/>
      <c r="K127"/>
      <c r="L127"/>
      <c r="M127"/>
    </row>
    <row r="128" spans="1:13" ht="12.75">
      <c r="A128"/>
      <c r="B128"/>
      <c r="C128"/>
      <c r="D128"/>
      <c r="E128"/>
      <c r="F128"/>
      <c r="G128" s="148"/>
      <c r="H128" s="148"/>
      <c r="I128" s="151"/>
      <c r="J128" s="53"/>
      <c r="K128"/>
      <c r="L128"/>
      <c r="M128"/>
    </row>
    <row r="129" spans="1:13" ht="12.75">
      <c r="A129"/>
      <c r="B129"/>
      <c r="C129"/>
      <c r="D129"/>
      <c r="E129"/>
      <c r="F129"/>
      <c r="G129" s="148"/>
      <c r="H129" s="148"/>
      <c r="I129" s="151"/>
      <c r="J129" s="53"/>
      <c r="K129"/>
      <c r="L129"/>
      <c r="M129"/>
    </row>
    <row r="130" spans="1:13" ht="12.75">
      <c r="A130"/>
      <c r="B130"/>
      <c r="C130"/>
      <c r="D130"/>
      <c r="E130"/>
      <c r="F130"/>
      <c r="G130" s="148"/>
      <c r="H130" s="148"/>
      <c r="I130" s="151"/>
      <c r="J130" s="53"/>
      <c r="K130"/>
      <c r="L130"/>
      <c r="M130"/>
    </row>
    <row r="131" spans="1:13" ht="12.75">
      <c r="A131"/>
      <c r="B131"/>
      <c r="C131"/>
      <c r="D131"/>
      <c r="E131"/>
      <c r="F131"/>
      <c r="G131" s="148"/>
      <c r="H131" s="148"/>
      <c r="I131" s="151"/>
      <c r="J131" s="53"/>
      <c r="K131"/>
      <c r="L131"/>
      <c r="M131"/>
    </row>
    <row r="132" spans="1:13" ht="12.75">
      <c r="A132"/>
      <c r="B132"/>
      <c r="C132"/>
      <c r="D132"/>
      <c r="E132"/>
      <c r="F132"/>
      <c r="G132" s="148"/>
      <c r="H132" s="148"/>
      <c r="I132" s="151"/>
      <c r="J132" s="53"/>
      <c r="K132"/>
      <c r="L132"/>
      <c r="M132"/>
    </row>
    <row r="133" spans="1:13" ht="12.75">
      <c r="A133"/>
      <c r="B133"/>
      <c r="C133"/>
      <c r="D133"/>
      <c r="E133"/>
      <c r="F133"/>
      <c r="G133" s="148"/>
      <c r="H133" s="148"/>
      <c r="I133" s="151"/>
      <c r="J133" s="53"/>
      <c r="K133"/>
      <c r="L133"/>
      <c r="M133"/>
    </row>
    <row r="134" spans="1:13" ht="12.75">
      <c r="A134"/>
      <c r="B134"/>
      <c r="C134"/>
      <c r="D134"/>
      <c r="E134"/>
      <c r="F134"/>
      <c r="G134" s="148"/>
      <c r="H134" s="148"/>
      <c r="I134" s="151"/>
      <c r="J134" s="53"/>
      <c r="K134"/>
      <c r="L134"/>
      <c r="M134"/>
    </row>
    <row r="135" spans="1:13" ht="12.75">
      <c r="A135"/>
      <c r="B135"/>
      <c r="C135"/>
      <c r="D135"/>
      <c r="E135"/>
      <c r="F135"/>
      <c r="G135" s="148"/>
      <c r="H135" s="148"/>
      <c r="I135" s="151"/>
      <c r="J135" s="53"/>
      <c r="K135"/>
      <c r="L135"/>
      <c r="M135"/>
    </row>
    <row r="136" spans="1:13" ht="12.75">
      <c r="A136"/>
      <c r="B136"/>
      <c r="C136"/>
      <c r="D136"/>
      <c r="E136"/>
      <c r="F136"/>
      <c r="G136" s="148"/>
      <c r="H136" s="148"/>
      <c r="I136" s="151"/>
      <c r="J136" s="53"/>
      <c r="K136"/>
      <c r="L136"/>
      <c r="M136"/>
    </row>
    <row r="137" spans="1:13" ht="12.75">
      <c r="A137"/>
      <c r="B137"/>
      <c r="C137"/>
      <c r="D137"/>
      <c r="E137"/>
      <c r="F137"/>
      <c r="G137" s="148"/>
      <c r="H137" s="148"/>
      <c r="I137" s="151"/>
      <c r="J137" s="53"/>
      <c r="K137"/>
      <c r="L137"/>
      <c r="M137"/>
    </row>
    <row r="138" spans="1:13" ht="12.75">
      <c r="A138"/>
      <c r="B138"/>
      <c r="C138"/>
      <c r="D138"/>
      <c r="E138"/>
      <c r="F138"/>
      <c r="G138" s="148"/>
      <c r="H138" s="148"/>
      <c r="I138" s="151"/>
      <c r="J138" s="53"/>
      <c r="K138"/>
      <c r="L138"/>
      <c r="M138"/>
    </row>
    <row r="139" spans="1:13" ht="12.75">
      <c r="A139"/>
      <c r="B139"/>
      <c r="C139"/>
      <c r="D139"/>
      <c r="E139"/>
      <c r="F139"/>
      <c r="G139" s="148"/>
      <c r="H139" s="148"/>
      <c r="I139" s="151"/>
      <c r="J139" s="53"/>
      <c r="K139"/>
      <c r="L139"/>
      <c r="M139"/>
    </row>
    <row r="140" spans="1:13" ht="12.75">
      <c r="A140"/>
      <c r="B140"/>
      <c r="C140"/>
      <c r="D140"/>
      <c r="E140"/>
      <c r="F140"/>
      <c r="G140" s="148"/>
      <c r="H140" s="148"/>
      <c r="I140" s="151"/>
      <c r="J140" s="53"/>
      <c r="K140"/>
      <c r="L140"/>
      <c r="M140"/>
    </row>
    <row r="141" spans="1:13" ht="12.75">
      <c r="A141"/>
      <c r="B141"/>
      <c r="C141"/>
      <c r="D141"/>
      <c r="E141"/>
      <c r="F141"/>
      <c r="G141" s="148"/>
      <c r="H141" s="148"/>
      <c r="I141" s="151"/>
      <c r="J141" s="53"/>
      <c r="K141"/>
      <c r="L141"/>
      <c r="M141"/>
    </row>
    <row r="142" spans="1:13" ht="12.75">
      <c r="A142"/>
      <c r="B142"/>
      <c r="C142"/>
      <c r="D142"/>
      <c r="E142"/>
      <c r="F142"/>
      <c r="G142" s="148"/>
      <c r="H142" s="148"/>
      <c r="I142" s="151"/>
      <c r="J142" s="53"/>
      <c r="K142"/>
      <c r="L142"/>
      <c r="M142"/>
    </row>
    <row r="143" spans="1:13" ht="12.75">
      <c r="A143"/>
      <c r="B143"/>
      <c r="C143"/>
      <c r="D143"/>
      <c r="E143"/>
      <c r="F143"/>
      <c r="G143" s="148"/>
      <c r="H143" s="148"/>
      <c r="I143" s="151"/>
      <c r="J143" s="53"/>
      <c r="K143"/>
      <c r="L143"/>
      <c r="M143"/>
    </row>
    <row r="144" spans="1:13" ht="12.75">
      <c r="A144"/>
      <c r="B144"/>
      <c r="C144"/>
      <c r="D144"/>
      <c r="E144"/>
      <c r="F144"/>
      <c r="G144" s="148"/>
      <c r="H144" s="148"/>
      <c r="I144" s="151"/>
      <c r="J144" s="53"/>
      <c r="K144"/>
      <c r="L144"/>
      <c r="M144"/>
    </row>
    <row r="145" spans="1:13" ht="12.75">
      <c r="A145"/>
      <c r="B145"/>
      <c r="C145"/>
      <c r="D145"/>
      <c r="E145"/>
      <c r="F145"/>
      <c r="G145" s="148"/>
      <c r="H145" s="148"/>
      <c r="I145" s="151"/>
      <c r="J145" s="53"/>
      <c r="K145"/>
      <c r="L145"/>
      <c r="M145"/>
    </row>
    <row r="146" spans="1:13" ht="12.75">
      <c r="A146"/>
      <c r="B146"/>
      <c r="C146"/>
      <c r="D146"/>
      <c r="E146"/>
      <c r="F146"/>
      <c r="G146" s="148"/>
      <c r="H146" s="148"/>
      <c r="I146" s="151"/>
      <c r="J146" s="53"/>
      <c r="K146"/>
      <c r="L146"/>
      <c r="M146"/>
    </row>
    <row r="147" spans="1:13" ht="12.75">
      <c r="A147"/>
      <c r="B147"/>
      <c r="C147"/>
      <c r="D147"/>
      <c r="E147"/>
      <c r="F147"/>
      <c r="G147" s="148"/>
      <c r="H147" s="148"/>
      <c r="I147" s="151"/>
      <c r="J147" s="53"/>
      <c r="K147"/>
      <c r="L147"/>
      <c r="M147"/>
    </row>
    <row r="148" spans="1:13" ht="12.75">
      <c r="A148"/>
      <c r="B148"/>
      <c r="C148"/>
      <c r="D148"/>
      <c r="E148"/>
      <c r="F148"/>
      <c r="G148" s="148"/>
      <c r="H148" s="148"/>
      <c r="I148" s="151"/>
      <c r="J148" s="53"/>
      <c r="K148"/>
      <c r="L148"/>
      <c r="M148"/>
    </row>
    <row r="149" spans="1:13" ht="12.75">
      <c r="A149" t="s">
        <v>594</v>
      </c>
      <c r="B149"/>
      <c r="C149"/>
      <c r="D149"/>
      <c r="E149"/>
      <c r="F149"/>
      <c r="G149" s="148"/>
      <c r="H149" s="148"/>
      <c r="I149" s="151"/>
      <c r="J149" s="53"/>
      <c r="K149"/>
      <c r="L149"/>
      <c r="M149"/>
    </row>
    <row r="150" spans="1:13" ht="13.5" thickBot="1">
      <c r="A150" s="55"/>
      <c r="B150" s="54"/>
      <c r="C150" s="72"/>
      <c r="D150" s="72"/>
      <c r="E150" s="73"/>
      <c r="F150" s="73"/>
      <c r="G150" s="146"/>
      <c r="H150" s="146"/>
      <c r="I150" s="146"/>
      <c r="J150" s="73"/>
      <c r="K150" s="73"/>
      <c r="L150" s="73"/>
      <c r="M150" s="73"/>
    </row>
    <row r="151" spans="1:13" ht="12.75">
      <c r="A151" s="56" t="str">
        <f>IF(AND(E151=0,C151=0,D151=0,K151=0),"X","M")</f>
        <v>X</v>
      </c>
      <c r="B151" s="56" t="str">
        <f>IF(AND(E151=0,C151=0,D151=0,(OR(K151=0,K151="New")),F151=0)," ",(+B144+1))</f>
        <v> </v>
      </c>
      <c r="C151" s="65"/>
      <c r="D151" s="65"/>
      <c r="E151" s="66"/>
      <c r="F151" s="66"/>
      <c r="G151" s="156"/>
      <c r="H151" s="156"/>
      <c r="I151" s="156"/>
      <c r="J151" s="67"/>
      <c r="K151" s="68"/>
      <c r="L151" s="68"/>
      <c r="M151" s="81"/>
    </row>
    <row r="152" spans="1:13" ht="12.75">
      <c r="A152" s="57" t="str">
        <f>IF(B152=" ","X","Y")</f>
        <v>X</v>
      </c>
      <c r="B152" t="str">
        <f>IF(B151=" ",B151,(IF(G152="","",(B151+0.1))))</f>
        <v> </v>
      </c>
      <c r="C152" s="152"/>
      <c r="D152" s="152"/>
      <c r="E152" s="153"/>
      <c r="F152" s="153"/>
      <c r="G152" s="146"/>
      <c r="H152" s="146"/>
      <c r="I152" s="146"/>
      <c r="J152" s="70"/>
      <c r="K152" s="153"/>
      <c r="L152" s="161"/>
      <c r="M152" s="157"/>
    </row>
    <row r="153" spans="1:13" ht="12.75">
      <c r="A153" s="57" t="str">
        <f>IF(B153=" ","X","Y")</f>
        <v>X</v>
      </c>
      <c r="B153" t="str">
        <f>IF(B152=" ",B152,(IF(G153="","",(B152+0.1))))</f>
        <v> </v>
      </c>
      <c r="C153" s="152"/>
      <c r="D153" s="152"/>
      <c r="E153" s="153"/>
      <c r="F153" s="153"/>
      <c r="G153" s="146"/>
      <c r="H153" s="146"/>
      <c r="I153" s="146"/>
      <c r="J153" s="70"/>
      <c r="K153" s="153"/>
      <c r="L153" s="161"/>
      <c r="M153" s="157"/>
    </row>
    <row r="154" spans="1:13" ht="12.75">
      <c r="A154" s="57" t="str">
        <f>IF(B154=" ","X","Y")</f>
        <v>X</v>
      </c>
      <c r="B154" t="str">
        <f>IF(B153=" ",B153,(IF(G154="","",(B153+0.1))))</f>
        <v> </v>
      </c>
      <c r="C154" s="152"/>
      <c r="D154" s="152"/>
      <c r="E154" s="153"/>
      <c r="F154" s="153"/>
      <c r="G154" s="146"/>
      <c r="H154" s="146"/>
      <c r="I154" s="146"/>
      <c r="J154" s="70"/>
      <c r="K154" s="153"/>
      <c r="L154" s="161"/>
      <c r="M154" s="157"/>
    </row>
    <row r="155" spans="1:13" ht="12.75">
      <c r="A155" s="57" t="str">
        <f>IF(B155=" ","X","Y")</f>
        <v>X</v>
      </c>
      <c r="B155" t="str">
        <f>IF(B154=" ",B154,(IF(G155="","",(B154+0.1))))</f>
        <v> </v>
      </c>
      <c r="C155" s="152"/>
      <c r="D155" s="152"/>
      <c r="E155" s="153"/>
      <c r="F155" s="153"/>
      <c r="G155" s="146"/>
      <c r="H155" s="146"/>
      <c r="I155" s="146"/>
      <c r="J155" s="70"/>
      <c r="K155" s="153"/>
      <c r="L155" s="161"/>
      <c r="M155" s="157"/>
    </row>
    <row r="156" spans="1:13" ht="13.5" thickBot="1">
      <c r="A156" s="58" t="str">
        <f>IF(B156=" ","X","Y")</f>
        <v>X</v>
      </c>
      <c r="B156" s="95" t="str">
        <f>IF(B155=" ",B155,(IF(G156="","",(B155+0.1))))</f>
        <v> </v>
      </c>
      <c r="C156" s="154"/>
      <c r="D156" s="154"/>
      <c r="E156" s="155"/>
      <c r="F156" s="155"/>
      <c r="G156" s="147"/>
      <c r="H156" s="147"/>
      <c r="I156" s="147"/>
      <c r="J156" s="76"/>
      <c r="K156" s="155"/>
      <c r="L156" s="160"/>
      <c r="M156" s="158"/>
    </row>
    <row r="157" spans="1:13" ht="12.75">
      <c r="A157"/>
      <c r="B157"/>
      <c r="C157"/>
      <c r="D157"/>
      <c r="E157"/>
      <c r="F157"/>
      <c r="G157" s="148"/>
      <c r="H157" s="148"/>
      <c r="I157" s="151"/>
      <c r="J157" s="53"/>
      <c r="K157"/>
      <c r="L157"/>
      <c r="M157"/>
    </row>
    <row r="158" spans="1:13" ht="12.75">
      <c r="A158"/>
      <c r="B158"/>
      <c r="C158"/>
      <c r="D158"/>
      <c r="E158"/>
      <c r="F158"/>
      <c r="G158" s="148"/>
      <c r="H158" s="148"/>
      <c r="I158" s="151"/>
      <c r="J158" s="53"/>
      <c r="K158"/>
      <c r="L158"/>
      <c r="M158"/>
    </row>
    <row r="159" spans="1:13" ht="12.75">
      <c r="A159"/>
      <c r="B159"/>
      <c r="C159"/>
      <c r="D159"/>
      <c r="E159"/>
      <c r="F159"/>
      <c r="G159" s="148"/>
      <c r="H159" s="148"/>
      <c r="I159" s="151"/>
      <c r="J159" s="53"/>
      <c r="K159"/>
      <c r="L159"/>
      <c r="M159"/>
    </row>
    <row r="160" spans="1:13" ht="12.75">
      <c r="A160"/>
      <c r="B160"/>
      <c r="C160"/>
      <c r="D160"/>
      <c r="E160"/>
      <c r="F160"/>
      <c r="G160" s="148"/>
      <c r="H160" s="148"/>
      <c r="I160" s="151"/>
      <c r="J160" s="53"/>
      <c r="K160"/>
      <c r="L160"/>
      <c r="M160"/>
    </row>
    <row r="161" spans="1:13" ht="12.75">
      <c r="A161"/>
      <c r="B161"/>
      <c r="C161"/>
      <c r="D161"/>
      <c r="E161"/>
      <c r="F161"/>
      <c r="G161" s="148"/>
      <c r="H161" s="148"/>
      <c r="I161" s="151"/>
      <c r="J161" s="53"/>
      <c r="K161"/>
      <c r="L161"/>
      <c r="M161"/>
    </row>
    <row r="162" spans="1:13" ht="12.75">
      <c r="A162"/>
      <c r="B162"/>
      <c r="C162"/>
      <c r="D162"/>
      <c r="E162"/>
      <c r="F162"/>
      <c r="G162" s="148"/>
      <c r="H162" s="148"/>
      <c r="I162" s="151"/>
      <c r="J162" s="53"/>
      <c r="K162"/>
      <c r="L162"/>
      <c r="M162"/>
    </row>
    <row r="163" spans="1:13" ht="12.75">
      <c r="A163"/>
      <c r="B163"/>
      <c r="C163"/>
      <c r="D163"/>
      <c r="E163"/>
      <c r="F163"/>
      <c r="G163" s="148"/>
      <c r="H163" s="148"/>
      <c r="I163" s="151"/>
      <c r="J163" s="53"/>
      <c r="K163"/>
      <c r="L163"/>
      <c r="M163"/>
    </row>
    <row r="164" spans="1:13" ht="12.75">
      <c r="A164"/>
      <c r="B164"/>
      <c r="C164"/>
      <c r="D164"/>
      <c r="E164"/>
      <c r="F164"/>
      <c r="G164" s="148"/>
      <c r="H164" s="148"/>
      <c r="I164" s="151"/>
      <c r="J164" s="53"/>
      <c r="K164"/>
      <c r="L164"/>
      <c r="M164"/>
    </row>
    <row r="165" spans="1:13" ht="12.75">
      <c r="A165"/>
      <c r="B165"/>
      <c r="C165"/>
      <c r="D165"/>
      <c r="E165"/>
      <c r="F165"/>
      <c r="G165" s="148"/>
      <c r="H165" s="148"/>
      <c r="I165" s="151"/>
      <c r="J165" s="53"/>
      <c r="K165"/>
      <c r="L165"/>
      <c r="M165"/>
    </row>
    <row r="166" spans="1:13" ht="12.75">
      <c r="A166"/>
      <c r="B166"/>
      <c r="C166"/>
      <c r="D166"/>
      <c r="E166"/>
      <c r="F166"/>
      <c r="G166" s="148"/>
      <c r="H166" s="148"/>
      <c r="I166" s="151"/>
      <c r="J166" s="53"/>
      <c r="K166"/>
      <c r="L166"/>
      <c r="M166"/>
    </row>
    <row r="167" spans="1:13" ht="12.75">
      <c r="A167"/>
      <c r="B167"/>
      <c r="C167"/>
      <c r="D167"/>
      <c r="E167"/>
      <c r="F167"/>
      <c r="G167" s="148"/>
      <c r="H167" s="148"/>
      <c r="I167" s="151"/>
      <c r="J167" s="53"/>
      <c r="K167"/>
      <c r="L167"/>
      <c r="M167"/>
    </row>
    <row r="168" spans="1:13" ht="12.75">
      <c r="A168"/>
      <c r="B168"/>
      <c r="C168"/>
      <c r="D168"/>
      <c r="E168"/>
      <c r="F168"/>
      <c r="G168" s="148"/>
      <c r="H168" s="148"/>
      <c r="I168" s="151"/>
      <c r="J168" s="53"/>
      <c r="K168"/>
      <c r="L168"/>
      <c r="M168"/>
    </row>
    <row r="169" spans="1:13" ht="12.75">
      <c r="A169"/>
      <c r="B169"/>
      <c r="C169"/>
      <c r="D169"/>
      <c r="E169"/>
      <c r="F169"/>
      <c r="G169" s="148"/>
      <c r="H169" s="148"/>
      <c r="I169" s="151"/>
      <c r="J169" s="53"/>
      <c r="K169"/>
      <c r="L169"/>
      <c r="M169"/>
    </row>
    <row r="170" spans="1:13" ht="12.75">
      <c r="A170"/>
      <c r="B170"/>
      <c r="C170"/>
      <c r="D170"/>
      <c r="E170"/>
      <c r="F170"/>
      <c r="G170" s="148"/>
      <c r="H170" s="148"/>
      <c r="I170" s="151"/>
      <c r="J170" s="53"/>
      <c r="K170"/>
      <c r="L170"/>
      <c r="M170"/>
    </row>
    <row r="171" spans="1:13" ht="12.75">
      <c r="A171"/>
      <c r="B171"/>
      <c r="C171"/>
      <c r="D171"/>
      <c r="E171"/>
      <c r="F171"/>
      <c r="G171" s="148"/>
      <c r="H171" s="148"/>
      <c r="I171" s="151"/>
      <c r="J171" s="53"/>
      <c r="K171"/>
      <c r="L171"/>
      <c r="M171"/>
    </row>
    <row r="172" spans="1:13" ht="12.75">
      <c r="A172"/>
      <c r="B172"/>
      <c r="C172"/>
      <c r="D172"/>
      <c r="E172"/>
      <c r="F172"/>
      <c r="G172" s="148"/>
      <c r="H172" s="148"/>
      <c r="I172" s="151"/>
      <c r="J172" s="53"/>
      <c r="K172"/>
      <c r="L172"/>
      <c r="M172"/>
    </row>
    <row r="173" spans="1:13" ht="12.75">
      <c r="A173"/>
      <c r="B173"/>
      <c r="C173"/>
      <c r="D173"/>
      <c r="E173"/>
      <c r="F173"/>
      <c r="G173" s="148"/>
      <c r="H173" s="148"/>
      <c r="I173" s="151"/>
      <c r="J173" s="53"/>
      <c r="K173"/>
      <c r="L173"/>
      <c r="M173"/>
    </row>
    <row r="174" spans="1:13" ht="12.75">
      <c r="A174"/>
      <c r="B174"/>
      <c r="C174"/>
      <c r="D174"/>
      <c r="E174"/>
      <c r="F174"/>
      <c r="G174" s="148"/>
      <c r="H174" s="148"/>
      <c r="I174" s="151"/>
      <c r="J174" s="53"/>
      <c r="K174"/>
      <c r="L174"/>
      <c r="M174"/>
    </row>
    <row r="175" spans="1:13" ht="12.75">
      <c r="A175"/>
      <c r="B175"/>
      <c r="C175"/>
      <c r="D175"/>
      <c r="E175"/>
      <c r="F175"/>
      <c r="G175" s="148"/>
      <c r="H175" s="148"/>
      <c r="I175" s="151"/>
      <c r="J175" s="53"/>
      <c r="K175"/>
      <c r="L175"/>
      <c r="M175"/>
    </row>
    <row r="176" spans="1:13" ht="12.75">
      <c r="A176"/>
      <c r="B176"/>
      <c r="C176"/>
      <c r="D176"/>
      <c r="E176"/>
      <c r="F176"/>
      <c r="G176" s="148"/>
      <c r="H176" s="148"/>
      <c r="I176" s="151"/>
      <c r="J176" s="53"/>
      <c r="K176"/>
      <c r="L176"/>
      <c r="M176"/>
    </row>
    <row r="177" spans="1:13" ht="12.75">
      <c r="A177"/>
      <c r="B177"/>
      <c r="C177"/>
      <c r="D177"/>
      <c r="E177"/>
      <c r="F177"/>
      <c r="G177" s="148"/>
      <c r="H177" s="148"/>
      <c r="I177" s="151"/>
      <c r="J177" s="53"/>
      <c r="K177"/>
      <c r="L177"/>
      <c r="M177"/>
    </row>
    <row r="178" spans="1:13" ht="12.75">
      <c r="A178"/>
      <c r="B178"/>
      <c r="C178"/>
      <c r="D178"/>
      <c r="E178"/>
      <c r="F178"/>
      <c r="G178" s="148"/>
      <c r="H178" s="148"/>
      <c r="I178" s="151"/>
      <c r="J178" s="53"/>
      <c r="K178"/>
      <c r="L178"/>
      <c r="M178"/>
    </row>
    <row r="179" spans="1:13" ht="12.75">
      <c r="A179"/>
      <c r="B179"/>
      <c r="C179"/>
      <c r="D179"/>
      <c r="E179"/>
      <c r="F179"/>
      <c r="G179" s="148"/>
      <c r="H179" s="148"/>
      <c r="I179" s="151"/>
      <c r="J179" s="53"/>
      <c r="K179"/>
      <c r="L179"/>
      <c r="M179"/>
    </row>
    <row r="180" spans="1:13" ht="12.75">
      <c r="A180"/>
      <c r="B180"/>
      <c r="C180"/>
      <c r="D180"/>
      <c r="E180"/>
      <c r="F180"/>
      <c r="G180" s="148"/>
      <c r="H180" s="148"/>
      <c r="I180" s="151"/>
      <c r="J180" s="53"/>
      <c r="K180"/>
      <c r="L180"/>
      <c r="M180"/>
    </row>
    <row r="181" spans="1:13" ht="12.75">
      <c r="A181"/>
      <c r="B181"/>
      <c r="C181"/>
      <c r="D181"/>
      <c r="E181"/>
      <c r="F181"/>
      <c r="G181" s="148"/>
      <c r="H181" s="148"/>
      <c r="I181" s="151"/>
      <c r="J181" s="53"/>
      <c r="K181"/>
      <c r="L181"/>
      <c r="M181"/>
    </row>
    <row r="182" spans="1:13" ht="12.75">
      <c r="A182"/>
      <c r="B182"/>
      <c r="C182"/>
      <c r="D182"/>
      <c r="E182"/>
      <c r="F182"/>
      <c r="G182" s="148"/>
      <c r="H182" s="148"/>
      <c r="I182" s="151"/>
      <c r="J182" s="53"/>
      <c r="K182"/>
      <c r="L182"/>
      <c r="M182"/>
    </row>
    <row r="183" spans="1:13" ht="12.75">
      <c r="A183"/>
      <c r="B183"/>
      <c r="C183"/>
      <c r="D183"/>
      <c r="E183"/>
      <c r="F183"/>
      <c r="G183" s="148"/>
      <c r="H183" s="148"/>
      <c r="I183" s="151"/>
      <c r="J183" s="53"/>
      <c r="K183"/>
      <c r="L183"/>
      <c r="M183"/>
    </row>
    <row r="184" spans="1:13" ht="12.75">
      <c r="A184"/>
      <c r="B184"/>
      <c r="C184"/>
      <c r="D184"/>
      <c r="E184"/>
      <c r="F184"/>
      <c r="G184" s="148"/>
      <c r="H184" s="148"/>
      <c r="I184" s="151"/>
      <c r="J184" s="53"/>
      <c r="K184"/>
      <c r="L184"/>
      <c r="M184"/>
    </row>
    <row r="185" spans="1:13" ht="12.75">
      <c r="A185"/>
      <c r="B185"/>
      <c r="C185"/>
      <c r="D185"/>
      <c r="E185"/>
      <c r="F185"/>
      <c r="G185" s="148"/>
      <c r="H185" s="148"/>
      <c r="I185" s="151"/>
      <c r="J185" s="53"/>
      <c r="K185"/>
      <c r="L185"/>
      <c r="M185"/>
    </row>
    <row r="186" spans="1:13" ht="12.75">
      <c r="A186"/>
      <c r="B186"/>
      <c r="C186"/>
      <c r="D186"/>
      <c r="E186"/>
      <c r="F186"/>
      <c r="G186" s="148"/>
      <c r="H186" s="148"/>
      <c r="I186" s="151"/>
      <c r="J186" s="53"/>
      <c r="K186"/>
      <c r="L186"/>
      <c r="M186"/>
    </row>
    <row r="187" spans="1:13" ht="12.75">
      <c r="A187"/>
      <c r="B187"/>
      <c r="C187"/>
      <c r="D187"/>
      <c r="E187"/>
      <c r="F187"/>
      <c r="G187" s="148"/>
      <c r="H187" s="148"/>
      <c r="I187" s="151"/>
      <c r="J187" s="53"/>
      <c r="K187"/>
      <c r="L187"/>
      <c r="M187"/>
    </row>
    <row r="188" spans="1:13" ht="12.75">
      <c r="A188"/>
      <c r="B188"/>
      <c r="C188"/>
      <c r="D188"/>
      <c r="E188"/>
      <c r="F188"/>
      <c r="G188" s="148"/>
      <c r="H188" s="148"/>
      <c r="I188" s="151"/>
      <c r="J188" s="53"/>
      <c r="K188"/>
      <c r="L188"/>
      <c r="M188"/>
    </row>
    <row r="189" spans="1:13" ht="12.75">
      <c r="A189"/>
      <c r="B189"/>
      <c r="C189"/>
      <c r="D189"/>
      <c r="E189"/>
      <c r="F189"/>
      <c r="G189" s="148"/>
      <c r="H189" s="148"/>
      <c r="I189" s="151"/>
      <c r="J189" s="53"/>
      <c r="K189"/>
      <c r="L189"/>
      <c r="M189"/>
    </row>
    <row r="190" spans="1:13" ht="12.75">
      <c r="A190"/>
      <c r="B190"/>
      <c r="C190"/>
      <c r="D190"/>
      <c r="E190"/>
      <c r="F190"/>
      <c r="G190" s="148"/>
      <c r="H190" s="148"/>
      <c r="I190" s="151"/>
      <c r="J190" s="53"/>
      <c r="K190"/>
      <c r="L190"/>
      <c r="M190"/>
    </row>
    <row r="191" spans="1:13" ht="12.75">
      <c r="A191"/>
      <c r="B191"/>
      <c r="C191"/>
      <c r="D191"/>
      <c r="E191"/>
      <c r="F191"/>
      <c r="G191" s="148"/>
      <c r="H191" s="148"/>
      <c r="I191" s="151"/>
      <c r="J191" s="53"/>
      <c r="K191"/>
      <c r="L191"/>
      <c r="M191"/>
    </row>
    <row r="192" spans="1:13" ht="12.75">
      <c r="A192"/>
      <c r="B192"/>
      <c r="C192"/>
      <c r="D192"/>
      <c r="E192"/>
      <c r="F192"/>
      <c r="G192" s="148"/>
      <c r="H192" s="148"/>
      <c r="I192" s="151"/>
      <c r="J192" s="53"/>
      <c r="K192"/>
      <c r="L192"/>
      <c r="M192"/>
    </row>
    <row r="193" spans="1:13" ht="12.75">
      <c r="A193"/>
      <c r="B193"/>
      <c r="C193"/>
      <c r="D193"/>
      <c r="E193"/>
      <c r="F193"/>
      <c r="G193" s="148"/>
      <c r="H193" s="148"/>
      <c r="I193" s="151"/>
      <c r="J193" s="53"/>
      <c r="K193"/>
      <c r="L193"/>
      <c r="M193"/>
    </row>
    <row r="194" spans="1:13" ht="12.75">
      <c r="A194"/>
      <c r="B194"/>
      <c r="C194"/>
      <c r="D194"/>
      <c r="E194"/>
      <c r="F194"/>
      <c r="G194" s="148"/>
      <c r="H194" s="148"/>
      <c r="I194" s="151"/>
      <c r="J194" s="53"/>
      <c r="K194"/>
      <c r="L194"/>
      <c r="M194"/>
    </row>
    <row r="195" spans="1:13" ht="12.75">
      <c r="A195"/>
      <c r="B195"/>
      <c r="C195"/>
      <c r="D195"/>
      <c r="E195"/>
      <c r="F195"/>
      <c r="G195" s="148"/>
      <c r="H195" s="148"/>
      <c r="I195" s="151"/>
      <c r="J195" s="53"/>
      <c r="K195"/>
      <c r="L195"/>
      <c r="M195"/>
    </row>
    <row r="196" spans="1:13" ht="12.75">
      <c r="A196"/>
      <c r="B196"/>
      <c r="C196"/>
      <c r="D196"/>
      <c r="E196"/>
      <c r="F196"/>
      <c r="G196" s="148"/>
      <c r="H196" s="148"/>
      <c r="I196" s="151"/>
      <c r="J196" s="53"/>
      <c r="K196"/>
      <c r="L196"/>
      <c r="M196"/>
    </row>
    <row r="197" spans="1:13" ht="12.75">
      <c r="A197"/>
      <c r="B197"/>
      <c r="C197"/>
      <c r="D197"/>
      <c r="E197"/>
      <c r="F197"/>
      <c r="G197" s="148"/>
      <c r="H197" s="148"/>
      <c r="I197" s="151"/>
      <c r="J197" s="53"/>
      <c r="K197"/>
      <c r="L197"/>
      <c r="M197"/>
    </row>
    <row r="198" spans="1:13" ht="12.75">
      <c r="A198"/>
      <c r="B198"/>
      <c r="C198"/>
      <c r="D198"/>
      <c r="E198"/>
      <c r="F198"/>
      <c r="G198" s="148"/>
      <c r="H198" s="148"/>
      <c r="I198" s="151"/>
      <c r="J198" s="53"/>
      <c r="K198"/>
      <c r="L198"/>
      <c r="M198"/>
    </row>
    <row r="199" spans="1:13" ht="12.75">
      <c r="A199"/>
      <c r="B199"/>
      <c r="C199"/>
      <c r="D199"/>
      <c r="E199"/>
      <c r="F199"/>
      <c r="G199" s="148"/>
      <c r="H199" s="148"/>
      <c r="I199" s="151"/>
      <c r="J199" s="53"/>
      <c r="K199"/>
      <c r="L199"/>
      <c r="M199"/>
    </row>
    <row r="200" spans="1:13" ht="12.75">
      <c r="A200"/>
      <c r="B200"/>
      <c r="C200"/>
      <c r="D200"/>
      <c r="E200"/>
      <c r="F200"/>
      <c r="G200" s="148"/>
      <c r="H200" s="148"/>
      <c r="I200" s="151"/>
      <c r="J200" s="53"/>
      <c r="K200"/>
      <c r="L200"/>
      <c r="M200"/>
    </row>
    <row r="201" spans="1:13" ht="12.75">
      <c r="A201"/>
      <c r="B201"/>
      <c r="C201"/>
      <c r="D201"/>
      <c r="E201"/>
      <c r="F201"/>
      <c r="G201" s="148"/>
      <c r="H201" s="148"/>
      <c r="I201" s="151"/>
      <c r="J201" s="53"/>
      <c r="K201"/>
      <c r="L201"/>
      <c r="M201"/>
    </row>
    <row r="202" spans="1:13" ht="12.75">
      <c r="A202"/>
      <c r="B202"/>
      <c r="C202"/>
      <c r="D202"/>
      <c r="E202"/>
      <c r="F202"/>
      <c r="G202" s="148"/>
      <c r="H202" s="148"/>
      <c r="I202" s="151"/>
      <c r="J202" s="53"/>
      <c r="K202"/>
      <c r="L202"/>
      <c r="M202"/>
    </row>
    <row r="203" spans="1:13" ht="12.75">
      <c r="A203"/>
      <c r="B203"/>
      <c r="C203"/>
      <c r="D203"/>
      <c r="E203"/>
      <c r="F203"/>
      <c r="G203" s="148"/>
      <c r="H203" s="148"/>
      <c r="I203" s="151"/>
      <c r="J203" s="53"/>
      <c r="K203"/>
      <c r="L203"/>
      <c r="M203"/>
    </row>
    <row r="204" spans="1:13" ht="12.75">
      <c r="A204"/>
      <c r="B204"/>
      <c r="C204"/>
      <c r="D204"/>
      <c r="E204"/>
      <c r="F204"/>
      <c r="G204" s="148"/>
      <c r="H204" s="148"/>
      <c r="I204" s="151"/>
      <c r="J204" s="53"/>
      <c r="K204"/>
      <c r="L204"/>
      <c r="M204"/>
    </row>
    <row r="205" spans="1:13" ht="12.75">
      <c r="A205"/>
      <c r="B205"/>
      <c r="C205"/>
      <c r="D205"/>
      <c r="E205"/>
      <c r="F205"/>
      <c r="G205" s="148"/>
      <c r="H205" s="148"/>
      <c r="I205" s="151"/>
      <c r="J205" s="53"/>
      <c r="K205"/>
      <c r="L205"/>
      <c r="M205"/>
    </row>
    <row r="206" spans="1:13" ht="12.75">
      <c r="A206"/>
      <c r="B206"/>
      <c r="C206"/>
      <c r="D206"/>
      <c r="E206"/>
      <c r="F206"/>
      <c r="G206" s="148"/>
      <c r="H206" s="148"/>
      <c r="I206" s="151"/>
      <c r="J206" s="53"/>
      <c r="K206"/>
      <c r="L206"/>
      <c r="M206"/>
    </row>
    <row r="207" spans="1:13" ht="12.75">
      <c r="A207"/>
      <c r="B207"/>
      <c r="C207"/>
      <c r="D207"/>
      <c r="E207"/>
      <c r="F207"/>
      <c r="G207" s="148"/>
      <c r="H207" s="148"/>
      <c r="I207" s="151"/>
      <c r="J207" s="53"/>
      <c r="K207"/>
      <c r="L207"/>
      <c r="M207"/>
    </row>
    <row r="208" spans="1:13" ht="12.75">
      <c r="A208"/>
      <c r="B208"/>
      <c r="C208"/>
      <c r="D208"/>
      <c r="E208"/>
      <c r="F208"/>
      <c r="G208" s="148"/>
      <c r="H208" s="148"/>
      <c r="I208" s="151"/>
      <c r="J208" s="53"/>
      <c r="K208"/>
      <c r="L208"/>
      <c r="M208"/>
    </row>
    <row r="209" spans="1:13" ht="12.75">
      <c r="A209"/>
      <c r="B209"/>
      <c r="C209"/>
      <c r="D209"/>
      <c r="E209"/>
      <c r="F209"/>
      <c r="G209" s="148"/>
      <c r="H209" s="148"/>
      <c r="I209" s="151"/>
      <c r="J209" s="53"/>
      <c r="K209"/>
      <c r="L209"/>
      <c r="M209"/>
    </row>
    <row r="210" spans="1:13" ht="12.75">
      <c r="A210"/>
      <c r="B210"/>
      <c r="C210"/>
      <c r="D210"/>
      <c r="E210"/>
      <c r="F210"/>
      <c r="G210" s="148"/>
      <c r="H210" s="148"/>
      <c r="I210" s="151"/>
      <c r="J210" s="53"/>
      <c r="K210"/>
      <c r="L210"/>
      <c r="M210"/>
    </row>
    <row r="211" spans="1:13" ht="12.75">
      <c r="A211"/>
      <c r="B211"/>
      <c r="C211"/>
      <c r="D211"/>
      <c r="E211"/>
      <c r="F211"/>
      <c r="G211" s="148"/>
      <c r="H211" s="148"/>
      <c r="I211" s="151"/>
      <c r="J211" s="53"/>
      <c r="K211"/>
      <c r="L211"/>
      <c r="M211"/>
    </row>
    <row r="212" spans="1:13" ht="12.75">
      <c r="A212"/>
      <c r="B212"/>
      <c r="C212"/>
      <c r="D212"/>
      <c r="E212"/>
      <c r="F212"/>
      <c r="G212" s="148"/>
      <c r="H212" s="148"/>
      <c r="I212" s="151"/>
      <c r="J212" s="53"/>
      <c r="K212"/>
      <c r="L212"/>
      <c r="M212"/>
    </row>
    <row r="213" spans="1:13" ht="12.75">
      <c r="A213"/>
      <c r="B213"/>
      <c r="C213"/>
      <c r="D213"/>
      <c r="E213"/>
      <c r="F213"/>
      <c r="G213" s="148"/>
      <c r="H213" s="148"/>
      <c r="I213" s="151"/>
      <c r="J213" s="53"/>
      <c r="K213"/>
      <c r="L213"/>
      <c r="M213"/>
    </row>
    <row r="214" spans="1:13" ht="12.75">
      <c r="A214"/>
      <c r="B214"/>
      <c r="C214"/>
      <c r="D214"/>
      <c r="E214"/>
      <c r="F214"/>
      <c r="G214" s="148"/>
      <c r="H214" s="148"/>
      <c r="I214" s="151"/>
      <c r="J214" s="53"/>
      <c r="K214"/>
      <c r="L214"/>
      <c r="M214"/>
    </row>
    <row r="215" spans="1:13" ht="12.75">
      <c r="A215"/>
      <c r="B215"/>
      <c r="C215"/>
      <c r="D215"/>
      <c r="E215"/>
      <c r="F215"/>
      <c r="G215" s="148"/>
      <c r="H215" s="148"/>
      <c r="I215" s="151"/>
      <c r="J215" s="53"/>
      <c r="K215"/>
      <c r="L215"/>
      <c r="M215"/>
    </row>
    <row r="216" spans="1:13" ht="12.75">
      <c r="A216"/>
      <c r="B216"/>
      <c r="C216"/>
      <c r="D216"/>
      <c r="E216"/>
      <c r="F216"/>
      <c r="G216" s="148"/>
      <c r="H216" s="148"/>
      <c r="I216" s="151"/>
      <c r="J216" s="53"/>
      <c r="K216"/>
      <c r="L216"/>
      <c r="M216"/>
    </row>
  </sheetData>
  <sheetProtection formatCells="0" formatColumns="0" formatRows="0"/>
  <dataValidations count="15">
    <dataValidation type="list" allowBlank="1" showDropDown="1" showInputMessage="1" showErrorMessage="1" errorTitle="End-of-File Error" error="Data on this line will not be uploaded into the database. Insert a row above the line containing EOF." sqref="K163:M215 K112:M148 AA103:AB103 N52:Z103 AC52:IV103 AA54:AB54 AA61:AB61 AA68:AB68 AA75:AB75 AA82:AB82 AA89:AB89 AA96:AB96 A163:H215 A112:H148">
      <formula1>" "</formula1>
    </dataValidation>
    <dataValidation errorStyle="warning" type="textLength" operator="lessThan" allowBlank="1" showInputMessage="1" showErrorMessage="1" errorTitle="&gt; 255 characters" error="You can enter more than 255 characters, but may be asked to edit later for space constraints if this measure is used in summary information." sqref="E97:F97 E69:F69 E34:F34 E41:F41 E104:F104 E90:F90 E20:F20 E13 E48:F48 E55:F55 E62:F62 E76:F76 E83:F83 E151:F151 E28:F28 E21">
      <formula1>256</formula1>
    </dataValidation>
    <dataValidation type="list" allowBlank="1" showDropDown="1" showInputMessage="1" showErrorMessage="1" prompt="Enter &quot;B&quot; if this measure/year should be included in the summary report for the printed budget." error="If should be presented intoPerformance and Management Assessments volume, type B. If not, leave blank." sqref="J76 J41 J48 J104 J97 J19:J20 J14:J17 J34 J55 J62 J69 J83 J90 J151 J27:J28 J22:J25">
      <formula1>"B"</formula1>
    </dataValidation>
    <dataValidation type="list" showDropDown="1" showInputMessage="1" showErrorMessage="1" error="This row is for additional years of target and actual information for the measure described above (with the same measure #). &#10;To add a new measure, go to the next white row below. " sqref="J150:M150 J103:M103 J110:M110 J47:M47 J54:M54 J33:M33 K12:M12 J96:M96 J61:M61 J68:M68 J75:M75 J82:M82 J89:M89 J40:M40 C150:F150 C103:F103 C12:F12 C19:F19 C33:F33 C40:F40 C47:F47 C110:F110 C82:F82 C89:F89 C61:F61 C75:F75 C68:F68 C96:F96 C54:F54 C27:F27">
      <formula1>" "</formula1>
    </dataValidation>
    <dataValidation type="list" allowBlank="1" showDropDown="1" showInputMessage="1" showErrorMessage="1" error="Enter &quot;Y&quot; if applicable, otherwise leave blank.&#10;" sqref="M69 M34 M41 M13 M62 M97 M20:M21 M104 M48 M55 M76 M83 M90 M151 M28">
      <formula1>"Y"</formula1>
    </dataValidation>
    <dataValidation allowBlank="1" showInputMessage="1" showErrorMessage="1" promptTitle="Measure #" prompt="This is a formula and will show up automatically when you enter information about the measure." sqref="B13 A20:B20 A90:B90 A104:B104 A34:B34 A41:B41 A48:B48 A55:B55 A62:B62 A69:B69 A76:B76 A97:B97 A83:B83 A151:B151 B21 A28:B28"/>
    <dataValidation type="list" allowBlank="1" showDropDown="1" showInputMessage="1" showErrorMessage="1" sqref="C9:C10">
      <formula1>"2005"</formula1>
    </dataValidation>
    <dataValidation allowBlank="1" showInputMessage="1" showErrorMessage="1" prompt="List years in ascending order. &#10;" sqref="G14 G22"/>
    <dataValidation allowBlank="1" showInputMessage="1" showErrorMessage="1" promptTitle="If there #VALUE error here:" prompt="Make sure your target years are listed in adjacent rows. " sqref="B29:B32 B14:B18 B105:B109 B35:B39 B42:B46 B49:B53 B56:B60 B63:B67 B70:B74 B77:B81 B84:B88 B91:B95 B98:B102 B152:B156 B22:B26"/>
    <dataValidation errorStyle="warning" type="list" allowBlank="1" showInputMessage="1" showErrorMessage="1" errorTitle="Measure term" error="You have entered a term other than the established categories, long-term or annual. Please ensure this is not a typographical error before continuing. &#10;" sqref="C13 C20:C21 C104 C34 C41 C48 C55 C62 C69 C76 C83 C90 C97 C151 C28">
      <formula1>"Long-term, Annual"</formula1>
    </dataValidation>
    <dataValidation type="list" allowBlank="1" showDropDown="1" showInputMessage="1" showErrorMessage="1" prompt="Enter &quot;New&quot; if measure is new. &#10;Enter &quot;UD&quot; if the measure is under development. &#10;Otherwise, leave blank. " error="Enter &quot;New&quot; if measure is new this year.&#10;Enter &quot;UD&quot; if measure is under development.&#10;Otherwise, leave blank. &#10;" sqref="K151 K20 K104 K34 K41 K48 K55 K62 K69 K76 K83 K90 K97 K28">
      <formula1>"New, UD"</formula1>
    </dataValidation>
    <dataValidation type="list" allowBlank="1" showDropDown="1" showInputMessage="1" showErrorMessage="1" prompt="Enter &quot;Y&quot; if target(s) are under development, otherwise leave blank. " error="Enter &quot;Y&quot; if applicable, otherwise leave blank.&#10;" sqref="L20:L26 L28:L32 L104:L109 L34:L39 L41:L46 L48:L53 L55:L60 L62:L67 L69:L74 L76:L81 L83:L88 L90:L95 L97:L102 L151:L156 L13:L18">
      <formula1>"Y"</formula1>
    </dataValidation>
    <dataValidation type="list" showDropDown="1" showInputMessage="1" showErrorMessage="1" error="This row is for target information for the  measure described above. &#10; &#10;To add a new measure, go to the next outlined block of 6 rows below. " sqref="M14:M18 K14:K18 C98:F102 M29:M32 K29:K32 C105:F109 K35:K39 M35:M39 M42:M46 K42:K46 K49:K53 M49:M53 M56:M60 K56:K60 K63:K67 M63:M67 M70:M74 K70:K74 K77:K81 M77:M81 K84:K88 M84:M88 M91:M95 K91:K95 K98:K102 M98:M102 M105:M109 K105:K109 M152:M156 K152:K156 C14:F18 C29:F32 C152:F156 C35:F39 C42:F46 C49:F53 C56:F60 C63:F67 C70:F74 C77:F81 C84:F88 C91:F95 M22:M26 K22:K26 C22:F26">
      <formula1>" "</formula1>
    </dataValidation>
    <dataValidation type="list" allowBlank="1" showDropDown="1" showInputMessage="1" showErrorMessage="1" error="Target information for this measure should be entered in the rows below." sqref="G13:K13 G20:I20 G151:I151 G34:I34 G41:I41 G48:I48 G55:I55 G62:I62 G69:I69 G76:I76 G83:I83 G90:I90 G97:I97 G104:I104 G21:K21 G28:I28">
      <formula1>" "</formula1>
    </dataValidation>
    <dataValidation errorStyle="warning" type="list" allowBlank="1" showInputMessage="1" showErrorMessage="1" errorTitle="Measure type" error="You have entered a type other than the established categories (efficiency, performance, outcome). Please ensure this is not a typographical error before continuing. &#10;" sqref="D13 D20:D21 D69 D34 D41 D48 D55 D62 D151 D76 D83 D90 D97 D104 D28">
      <formula1>"Outcome, Output, Efficiency (Output), Efficiency (Outcome)"</formula1>
    </dataValidation>
  </dataValidations>
  <printOptions/>
  <pageMargins left="0.75" right="0.75" top="1" bottom="1" header="0.5" footer="0.5"/>
  <pageSetup fitToHeight="1" fitToWidth="1" horizontalDpi="600" verticalDpi="600" orientation="landscape" scale="60" r:id="rId3"/>
  <legacyDrawing r:id="rId2"/>
</worksheet>
</file>

<file path=xl/worksheets/sheet4.xml><?xml version="1.0" encoding="utf-8"?>
<worksheet xmlns="http://schemas.openxmlformats.org/spreadsheetml/2006/main" xmlns:r="http://schemas.openxmlformats.org/officeDocument/2006/relationships">
  <sheetPr codeName="Sheet6">
    <pageSetUpPr fitToPage="1"/>
  </sheetPr>
  <dimension ref="A1:AB186"/>
  <sheetViews>
    <sheetView zoomScale="75" zoomScaleNormal="75" workbookViewId="0" topLeftCell="B7">
      <selection activeCell="B1" sqref="B1"/>
    </sheetView>
  </sheetViews>
  <sheetFormatPr defaultColWidth="9.140625" defaultRowHeight="18" customHeight="1"/>
  <cols>
    <col min="1" max="1" width="9.8515625" style="0" hidden="1" customWidth="1"/>
    <col min="2" max="2" width="39.7109375" style="34" customWidth="1"/>
    <col min="3" max="3" width="16.00390625" style="0" customWidth="1"/>
    <col min="4" max="5" width="15.8515625" style="0" customWidth="1"/>
    <col min="6" max="6" width="16.140625" style="0" customWidth="1"/>
    <col min="7" max="7" width="15.140625" style="0" customWidth="1"/>
    <col min="8" max="8" width="16.00390625" style="0" customWidth="1"/>
    <col min="9" max="9" width="43.8515625" style="0" customWidth="1"/>
    <col min="10" max="10" width="16.28125" style="42" customWidth="1"/>
    <col min="12" max="12" width="21.28125" style="0" bestFit="1" customWidth="1"/>
  </cols>
  <sheetData>
    <row r="1" spans="1:10" ht="15.75">
      <c r="A1" s="83"/>
      <c r="B1" s="94"/>
      <c r="F1" s="33" t="s">
        <v>901</v>
      </c>
      <c r="J1"/>
    </row>
    <row r="2" spans="1:10" ht="15.75">
      <c r="A2" t="s">
        <v>1751</v>
      </c>
      <c r="B2"/>
      <c r="D2" s="19"/>
      <c r="E2" s="33"/>
      <c r="F2" s="19"/>
      <c r="G2" s="19"/>
      <c r="H2" s="19"/>
      <c r="J2"/>
    </row>
    <row r="3" spans="1:10" ht="15.75">
      <c r="A3" t="s">
        <v>1754</v>
      </c>
      <c r="B3"/>
      <c r="C3" s="107"/>
      <c r="D3" s="6"/>
      <c r="E3" s="33"/>
      <c r="F3" s="19"/>
      <c r="G3" s="19"/>
      <c r="H3" s="19"/>
      <c r="J3"/>
    </row>
    <row r="4" spans="1:10" ht="15.75">
      <c r="A4" t="s">
        <v>1762</v>
      </c>
      <c r="B4" s="63" t="s">
        <v>1749</v>
      </c>
      <c r="C4" s="108" t="str">
        <f>Program_Type_Primary</f>
        <v>Block/Formula</v>
      </c>
      <c r="D4" s="108">
        <f>Program_Type_Secondary</f>
        <v>0</v>
      </c>
      <c r="E4" s="108">
        <f>Program_Type_Tertiary</f>
        <v>0</v>
      </c>
      <c r="F4" s="117"/>
      <c r="G4" s="117"/>
      <c r="H4" s="19"/>
      <c r="J4"/>
    </row>
    <row r="5" spans="1:10" ht="15.75">
      <c r="A5" t="s">
        <v>1762</v>
      </c>
      <c r="B5" s="63" t="s">
        <v>406</v>
      </c>
      <c r="C5" s="109" t="str">
        <f>Program_Name</f>
        <v>Low Income Home Energy Assistance Program</v>
      </c>
      <c r="D5" s="110"/>
      <c r="E5" s="111"/>
      <c r="F5" s="118"/>
      <c r="G5" s="118"/>
      <c r="H5" s="17"/>
      <c r="J5"/>
    </row>
    <row r="6" spans="1:10" ht="15.75">
      <c r="A6" t="s">
        <v>1762</v>
      </c>
      <c r="B6" s="63" t="s">
        <v>440</v>
      </c>
      <c r="C6" s="109">
        <f>Program_ID</f>
        <v>0</v>
      </c>
      <c r="D6" s="109"/>
      <c r="E6" s="112"/>
      <c r="F6" s="118"/>
      <c r="G6" s="118"/>
      <c r="H6" s="17"/>
      <c r="J6"/>
    </row>
    <row r="7" spans="1:10" ht="15.75">
      <c r="A7" t="s">
        <v>1762</v>
      </c>
      <c r="B7" s="63" t="s">
        <v>1759</v>
      </c>
      <c r="C7" s="109" t="str">
        <f>Agency_Name</f>
        <v>Department of Health and Human Services                         </v>
      </c>
      <c r="D7" s="113"/>
      <c r="E7" s="113"/>
      <c r="F7" s="118"/>
      <c r="G7" s="118"/>
      <c r="H7" s="17"/>
      <c r="J7"/>
    </row>
    <row r="8" spans="1:10" ht="15.75">
      <c r="A8" t="s">
        <v>1762</v>
      </c>
      <c r="B8" s="63" t="s">
        <v>1760</v>
      </c>
      <c r="C8" s="109" t="str">
        <f>Bureau_Name</f>
        <v>Office of Community Services, ACF</v>
      </c>
      <c r="D8" s="113"/>
      <c r="E8" s="113"/>
      <c r="F8" s="118"/>
      <c r="G8" s="118"/>
      <c r="H8" s="17"/>
      <c r="J8"/>
    </row>
    <row r="9" spans="1:10" ht="15.75">
      <c r="A9" t="s">
        <v>1762</v>
      </c>
      <c r="B9" s="63" t="s">
        <v>197</v>
      </c>
      <c r="C9" s="114">
        <f>Year_data_collected</f>
        <v>2005</v>
      </c>
      <c r="D9" s="115"/>
      <c r="E9" s="116"/>
      <c r="F9" s="117"/>
      <c r="G9" s="117"/>
      <c r="H9" s="19"/>
      <c r="J9"/>
    </row>
    <row r="10" spans="1:10" ht="18" customHeight="1">
      <c r="A10" t="s">
        <v>1754</v>
      </c>
      <c r="B10" s="21"/>
      <c r="C10" s="119"/>
      <c r="D10" s="120"/>
      <c r="E10" s="120"/>
      <c r="F10" s="120"/>
      <c r="G10" s="120"/>
      <c r="J10" s="82"/>
    </row>
    <row r="11" spans="1:10" ht="48.75" customHeight="1" thickBot="1">
      <c r="A11" t="s">
        <v>1754</v>
      </c>
      <c r="B11" s="21"/>
      <c r="C11" s="103" t="s">
        <v>897</v>
      </c>
      <c r="D11" s="103" t="s">
        <v>898</v>
      </c>
      <c r="E11" s="103" t="s">
        <v>899</v>
      </c>
      <c r="F11" s="104"/>
      <c r="G11" s="35"/>
      <c r="H11" s="35"/>
      <c r="I11" s="105" t="s">
        <v>900</v>
      </c>
      <c r="J11" s="82"/>
    </row>
    <row r="12" spans="1:10" ht="16.5" thickBot="1">
      <c r="A12" t="s">
        <v>1753</v>
      </c>
      <c r="B12" s="97" t="s">
        <v>896</v>
      </c>
      <c r="C12" s="98"/>
      <c r="D12" s="98"/>
      <c r="E12" s="98"/>
      <c r="I12" s="98"/>
      <c r="J12" s="82"/>
    </row>
    <row r="13" spans="1:9" ht="15.75">
      <c r="A13" t="s">
        <v>1754</v>
      </c>
      <c r="B13" s="97"/>
      <c r="C13" s="99"/>
      <c r="D13" s="99"/>
      <c r="E13" s="99"/>
      <c r="I13" s="99"/>
    </row>
    <row r="14" spans="1:10" ht="19.5" customHeight="1">
      <c r="A14" t="s">
        <v>1754</v>
      </c>
      <c r="B14" s="97"/>
      <c r="C14" s="96"/>
      <c r="D14" s="96"/>
      <c r="E14" s="96"/>
      <c r="J14" s="86"/>
    </row>
    <row r="15" spans="1:10" ht="39" customHeight="1">
      <c r="A15" t="s">
        <v>1754</v>
      </c>
      <c r="B15" s="102"/>
      <c r="C15" s="100"/>
      <c r="D15" s="106" t="s">
        <v>902</v>
      </c>
      <c r="E15" s="106"/>
      <c r="F15" s="101"/>
      <c r="G15" s="101"/>
      <c r="H15" s="101"/>
      <c r="I15" s="101"/>
      <c r="J15" s="86"/>
    </row>
    <row r="16" spans="1:10" ht="63.75" thickBot="1">
      <c r="A16" t="s">
        <v>1754</v>
      </c>
      <c r="B16" s="38" t="s">
        <v>1642</v>
      </c>
      <c r="C16" s="39" t="s">
        <v>895</v>
      </c>
      <c r="D16" s="39" t="s">
        <v>1587</v>
      </c>
      <c r="E16" s="39" t="s">
        <v>1388</v>
      </c>
      <c r="F16" s="39" t="s">
        <v>1281</v>
      </c>
      <c r="G16" s="39" t="s">
        <v>893</v>
      </c>
      <c r="H16" s="39" t="s">
        <v>894</v>
      </c>
      <c r="I16" s="39" t="s">
        <v>1215</v>
      </c>
      <c r="J16" s="86"/>
    </row>
    <row r="17" spans="1:9" ht="18" customHeight="1" thickBot="1">
      <c r="A17" t="s">
        <v>1754</v>
      </c>
      <c r="B17" s="60" t="s">
        <v>37</v>
      </c>
      <c r="C17" s="61">
        <f aca="true" t="shared" si="0" ref="C17:H17">SUM(C18:C41)</f>
        <v>0</v>
      </c>
      <c r="D17" s="61">
        <f t="shared" si="0"/>
        <v>0</v>
      </c>
      <c r="E17" s="61">
        <f t="shared" si="0"/>
        <v>0</v>
      </c>
      <c r="F17" s="61">
        <f t="shared" si="0"/>
        <v>0</v>
      </c>
      <c r="G17" s="61">
        <f t="shared" si="0"/>
        <v>0</v>
      </c>
      <c r="H17" s="62">
        <f t="shared" si="0"/>
        <v>0</v>
      </c>
      <c r="I17" s="83"/>
    </row>
    <row r="18" spans="1:28" ht="18" customHeight="1">
      <c r="A18" t="str">
        <f>IF(B18="","X","A")</f>
        <v>X</v>
      </c>
      <c r="B18" s="80"/>
      <c r="C18" s="77"/>
      <c r="D18" s="77"/>
      <c r="E18" s="77"/>
      <c r="F18" s="77"/>
      <c r="G18" s="77"/>
      <c r="H18" s="77"/>
      <c r="I18" s="83"/>
      <c r="AA18">
        <f>LEFT(B18,2)</f>
      </c>
      <c r="AB18">
        <f>MID(B18,4,4)</f>
      </c>
    </row>
    <row r="19" spans="1:28" ht="18" customHeight="1">
      <c r="A19" t="str">
        <f aca="true" t="shared" si="1" ref="A19:A37">IF(B19="","X","A")</f>
        <v>X</v>
      </c>
      <c r="B19" s="80"/>
      <c r="C19" s="77"/>
      <c r="D19" s="77"/>
      <c r="E19" s="77"/>
      <c r="F19" s="77"/>
      <c r="G19" s="77"/>
      <c r="H19" s="77"/>
      <c r="I19" s="83"/>
      <c r="AA19">
        <f aca="true" t="shared" si="2" ref="AA19:AA37">LEFT(B19,2)</f>
      </c>
      <c r="AB19">
        <f aca="true" t="shared" si="3" ref="AB19:AB37">MID(B19,4,4)</f>
      </c>
    </row>
    <row r="20" spans="1:28" ht="18" customHeight="1">
      <c r="A20" t="str">
        <f t="shared" si="1"/>
        <v>X</v>
      </c>
      <c r="B20" s="80"/>
      <c r="C20" s="77"/>
      <c r="D20" s="77"/>
      <c r="E20" s="77"/>
      <c r="F20" s="77"/>
      <c r="G20" s="77"/>
      <c r="H20" s="77"/>
      <c r="I20" s="83"/>
      <c r="AA20">
        <f t="shared" si="2"/>
      </c>
      <c r="AB20">
        <f t="shared" si="3"/>
      </c>
    </row>
    <row r="21" spans="1:28" ht="18" customHeight="1">
      <c r="A21" t="str">
        <f t="shared" si="1"/>
        <v>X</v>
      </c>
      <c r="B21" s="80"/>
      <c r="C21" s="77"/>
      <c r="D21" s="69"/>
      <c r="E21" s="69"/>
      <c r="F21" s="69"/>
      <c r="G21" s="69"/>
      <c r="H21" s="69"/>
      <c r="I21" s="83"/>
      <c r="AA21">
        <f t="shared" si="2"/>
      </c>
      <c r="AB21">
        <f t="shared" si="3"/>
      </c>
    </row>
    <row r="22" spans="1:28" ht="18" customHeight="1">
      <c r="A22" t="str">
        <f t="shared" si="1"/>
        <v>X</v>
      </c>
      <c r="B22" s="80"/>
      <c r="C22" s="77"/>
      <c r="D22" s="69"/>
      <c r="E22" s="69"/>
      <c r="F22" s="69"/>
      <c r="G22" s="69"/>
      <c r="H22" s="69"/>
      <c r="I22" s="83"/>
      <c r="AA22">
        <f t="shared" si="2"/>
      </c>
      <c r="AB22">
        <f t="shared" si="3"/>
      </c>
    </row>
    <row r="23" spans="1:28" ht="18" customHeight="1">
      <c r="A23" t="str">
        <f t="shared" si="1"/>
        <v>X</v>
      </c>
      <c r="B23" s="80"/>
      <c r="C23" s="69"/>
      <c r="D23" s="69"/>
      <c r="E23" s="69"/>
      <c r="F23" s="69"/>
      <c r="G23" s="69"/>
      <c r="H23" s="69"/>
      <c r="I23" s="83"/>
      <c r="AA23">
        <f t="shared" si="2"/>
      </c>
      <c r="AB23">
        <f t="shared" si="3"/>
      </c>
    </row>
    <row r="24" spans="1:28" ht="18" customHeight="1">
      <c r="A24" t="str">
        <f t="shared" si="1"/>
        <v>X</v>
      </c>
      <c r="B24" s="80"/>
      <c r="C24" s="69"/>
      <c r="D24" s="69"/>
      <c r="E24" s="69"/>
      <c r="F24" s="69"/>
      <c r="G24" s="69"/>
      <c r="H24" s="69"/>
      <c r="I24" s="83"/>
      <c r="AA24">
        <f t="shared" si="2"/>
      </c>
      <c r="AB24">
        <f t="shared" si="3"/>
      </c>
    </row>
    <row r="25" spans="1:28" ht="18" customHeight="1">
      <c r="A25" t="str">
        <f t="shared" si="1"/>
        <v>X</v>
      </c>
      <c r="B25" s="80"/>
      <c r="C25" s="69"/>
      <c r="D25" s="69"/>
      <c r="E25" s="69"/>
      <c r="F25" s="69"/>
      <c r="G25" s="69"/>
      <c r="H25" s="69"/>
      <c r="I25" s="83"/>
      <c r="AA25">
        <f t="shared" si="2"/>
      </c>
      <c r="AB25">
        <f t="shared" si="3"/>
      </c>
    </row>
    <row r="26" spans="1:28" ht="18" customHeight="1">
      <c r="A26" t="str">
        <f t="shared" si="1"/>
        <v>X</v>
      </c>
      <c r="B26" s="80"/>
      <c r="C26" s="69"/>
      <c r="D26" s="69"/>
      <c r="E26" s="69"/>
      <c r="F26" s="69"/>
      <c r="G26" s="69"/>
      <c r="H26" s="69"/>
      <c r="I26" s="83"/>
      <c r="AA26">
        <f t="shared" si="2"/>
      </c>
      <c r="AB26">
        <f t="shared" si="3"/>
      </c>
    </row>
    <row r="27" spans="1:28" ht="18" customHeight="1">
      <c r="A27" t="str">
        <f t="shared" si="1"/>
        <v>X</v>
      </c>
      <c r="B27" s="80"/>
      <c r="C27" s="69"/>
      <c r="D27" s="69"/>
      <c r="E27" s="69"/>
      <c r="F27" s="69"/>
      <c r="G27" s="69"/>
      <c r="H27" s="69"/>
      <c r="I27" s="83"/>
      <c r="AA27">
        <f t="shared" si="2"/>
      </c>
      <c r="AB27">
        <f t="shared" si="3"/>
      </c>
    </row>
    <row r="28" spans="1:28" ht="18" customHeight="1">
      <c r="A28" t="str">
        <f t="shared" si="1"/>
        <v>X</v>
      </c>
      <c r="B28" s="80"/>
      <c r="C28" s="69"/>
      <c r="D28" s="69"/>
      <c r="E28" s="69"/>
      <c r="F28" s="69"/>
      <c r="G28" s="69"/>
      <c r="H28" s="69"/>
      <c r="I28" s="83"/>
      <c r="AA28">
        <f t="shared" si="2"/>
      </c>
      <c r="AB28">
        <f t="shared" si="3"/>
      </c>
    </row>
    <row r="29" spans="1:28" ht="18" customHeight="1">
      <c r="A29" t="str">
        <f t="shared" si="1"/>
        <v>X</v>
      </c>
      <c r="B29" s="80"/>
      <c r="C29" s="69"/>
      <c r="D29" s="69"/>
      <c r="E29" s="69"/>
      <c r="F29" s="69"/>
      <c r="G29" s="69"/>
      <c r="H29" s="69"/>
      <c r="I29" s="83"/>
      <c r="AA29">
        <f t="shared" si="2"/>
      </c>
      <c r="AB29">
        <f t="shared" si="3"/>
      </c>
    </row>
    <row r="30" spans="1:28" ht="18" customHeight="1">
      <c r="A30" t="str">
        <f t="shared" si="1"/>
        <v>X</v>
      </c>
      <c r="B30" s="80"/>
      <c r="C30" s="69"/>
      <c r="D30" s="69"/>
      <c r="E30" s="69"/>
      <c r="F30" s="69"/>
      <c r="G30" s="69"/>
      <c r="H30" s="69"/>
      <c r="I30" s="83"/>
      <c r="AA30">
        <f t="shared" si="2"/>
      </c>
      <c r="AB30">
        <f t="shared" si="3"/>
      </c>
    </row>
    <row r="31" spans="1:28" ht="18" customHeight="1">
      <c r="A31" t="str">
        <f t="shared" si="1"/>
        <v>X</v>
      </c>
      <c r="B31" s="80"/>
      <c r="C31" s="69"/>
      <c r="D31" s="69"/>
      <c r="E31" s="69"/>
      <c r="F31" s="69"/>
      <c r="G31" s="69"/>
      <c r="H31" s="69"/>
      <c r="I31" s="83"/>
      <c r="AA31">
        <f t="shared" si="2"/>
      </c>
      <c r="AB31">
        <f t="shared" si="3"/>
      </c>
    </row>
    <row r="32" spans="1:28" ht="18" customHeight="1">
      <c r="A32" t="str">
        <f t="shared" si="1"/>
        <v>X</v>
      </c>
      <c r="B32" s="80"/>
      <c r="C32" s="69"/>
      <c r="D32" s="69"/>
      <c r="E32" s="69"/>
      <c r="F32" s="69"/>
      <c r="G32" s="69"/>
      <c r="H32" s="69"/>
      <c r="I32" s="83"/>
      <c r="AA32">
        <f t="shared" si="2"/>
      </c>
      <c r="AB32">
        <f t="shared" si="3"/>
      </c>
    </row>
    <row r="33" spans="1:28" ht="18" customHeight="1">
      <c r="A33" t="str">
        <f t="shared" si="1"/>
        <v>X</v>
      </c>
      <c r="B33" s="80"/>
      <c r="C33" s="69"/>
      <c r="D33" s="69"/>
      <c r="E33" s="69"/>
      <c r="F33" s="69"/>
      <c r="G33" s="69"/>
      <c r="H33" s="69"/>
      <c r="I33" s="83"/>
      <c r="AA33">
        <f t="shared" si="2"/>
      </c>
      <c r="AB33">
        <f t="shared" si="3"/>
      </c>
    </row>
    <row r="34" spans="1:28" ht="18" customHeight="1">
      <c r="A34" t="str">
        <f t="shared" si="1"/>
        <v>X</v>
      </c>
      <c r="B34" s="80"/>
      <c r="C34" s="69"/>
      <c r="D34" s="69"/>
      <c r="E34" s="69"/>
      <c r="F34" s="69"/>
      <c r="G34" s="69"/>
      <c r="H34" s="69"/>
      <c r="I34" s="83"/>
      <c r="AA34">
        <f t="shared" si="2"/>
      </c>
      <c r="AB34">
        <f t="shared" si="3"/>
      </c>
    </row>
    <row r="35" spans="1:28" ht="18" customHeight="1">
      <c r="A35" t="str">
        <f t="shared" si="1"/>
        <v>X</v>
      </c>
      <c r="B35" s="80"/>
      <c r="C35" s="69"/>
      <c r="D35" s="69"/>
      <c r="E35" s="69"/>
      <c r="F35" s="69"/>
      <c r="G35" s="69"/>
      <c r="H35" s="69"/>
      <c r="I35" s="83"/>
      <c r="AA35">
        <f t="shared" si="2"/>
      </c>
      <c r="AB35">
        <f t="shared" si="3"/>
      </c>
    </row>
    <row r="36" spans="1:28" ht="18" customHeight="1">
      <c r="A36" t="str">
        <f t="shared" si="1"/>
        <v>X</v>
      </c>
      <c r="B36" s="80"/>
      <c r="C36" s="69"/>
      <c r="D36" s="69"/>
      <c r="E36" s="69"/>
      <c r="F36" s="69"/>
      <c r="G36" s="69"/>
      <c r="H36" s="69"/>
      <c r="I36" s="83"/>
      <c r="AA36">
        <f t="shared" si="2"/>
      </c>
      <c r="AB36">
        <f t="shared" si="3"/>
      </c>
    </row>
    <row r="37" spans="1:28" ht="18" customHeight="1">
      <c r="A37" t="str">
        <f t="shared" si="1"/>
        <v>X</v>
      </c>
      <c r="B37" s="80"/>
      <c r="C37" s="69"/>
      <c r="D37" s="69"/>
      <c r="E37" s="69"/>
      <c r="F37" s="69"/>
      <c r="G37" s="69"/>
      <c r="H37" s="69"/>
      <c r="I37" s="83"/>
      <c r="AA37">
        <f t="shared" si="2"/>
      </c>
      <c r="AB37">
        <f t="shared" si="3"/>
      </c>
    </row>
    <row r="38" spans="1:28" ht="18" customHeight="1">
      <c r="A38" s="40" t="s">
        <v>35</v>
      </c>
      <c r="B38" s="80"/>
      <c r="C38" s="69"/>
      <c r="D38" s="69"/>
      <c r="E38" s="69"/>
      <c r="F38" s="69"/>
      <c r="G38" s="69"/>
      <c r="H38" s="69"/>
      <c r="I38" s="83"/>
      <c r="AA38">
        <f aca="true" t="shared" si="4" ref="AA38:AA57">LEFT(B38,2)</f>
      </c>
      <c r="AB38">
        <f aca="true" t="shared" si="5" ref="AB38:AB57">MID(B38,4,4)</f>
      </c>
    </row>
    <row r="39" spans="2:28" ht="18" customHeight="1">
      <c r="B39" s="80"/>
      <c r="C39" s="69"/>
      <c r="D39" s="69"/>
      <c r="E39" s="69"/>
      <c r="F39" s="69"/>
      <c r="G39" s="69"/>
      <c r="H39" s="69"/>
      <c r="I39" s="83"/>
      <c r="AA39">
        <f t="shared" si="4"/>
      </c>
      <c r="AB39">
        <f t="shared" si="5"/>
      </c>
    </row>
    <row r="40" spans="2:28" ht="18" customHeight="1">
      <c r="B40" s="80"/>
      <c r="C40" s="69"/>
      <c r="D40" s="69"/>
      <c r="E40" s="69"/>
      <c r="F40" s="69"/>
      <c r="G40" s="69"/>
      <c r="H40" s="69"/>
      <c r="I40" s="83"/>
      <c r="AA40">
        <f t="shared" si="4"/>
      </c>
      <c r="AB40">
        <f t="shared" si="5"/>
      </c>
    </row>
    <row r="41" spans="2:28" ht="18" customHeight="1">
      <c r="B41" s="80"/>
      <c r="C41" s="69"/>
      <c r="D41" s="69"/>
      <c r="E41" s="69"/>
      <c r="F41" s="69"/>
      <c r="G41" s="69"/>
      <c r="H41" s="69"/>
      <c r="I41" s="83"/>
      <c r="AA41">
        <f t="shared" si="4"/>
      </c>
      <c r="AB41">
        <f t="shared" si="5"/>
      </c>
    </row>
    <row r="42" spans="9:28" ht="18" customHeight="1">
      <c r="I42" s="83"/>
      <c r="AA42">
        <f t="shared" si="4"/>
      </c>
      <c r="AB42">
        <f t="shared" si="5"/>
      </c>
    </row>
    <row r="43" spans="9:28" ht="18" customHeight="1">
      <c r="I43" s="83"/>
      <c r="AA43">
        <f t="shared" si="4"/>
      </c>
      <c r="AB43">
        <f t="shared" si="5"/>
      </c>
    </row>
    <row r="44" spans="9:28" ht="18" customHeight="1">
      <c r="I44" s="83"/>
      <c r="AA44">
        <f t="shared" si="4"/>
      </c>
      <c r="AB44">
        <f t="shared" si="5"/>
      </c>
    </row>
    <row r="45" spans="9:28" ht="18" customHeight="1">
      <c r="I45" s="83"/>
      <c r="AA45">
        <f t="shared" si="4"/>
      </c>
      <c r="AB45">
        <f t="shared" si="5"/>
      </c>
    </row>
    <row r="46" spans="9:28" ht="18" customHeight="1">
      <c r="I46" s="83"/>
      <c r="AA46">
        <f t="shared" si="4"/>
      </c>
      <c r="AB46">
        <f t="shared" si="5"/>
      </c>
    </row>
    <row r="47" spans="9:28" ht="18" customHeight="1">
      <c r="I47" s="83"/>
      <c r="AA47">
        <f t="shared" si="4"/>
      </c>
      <c r="AB47">
        <f t="shared" si="5"/>
      </c>
    </row>
    <row r="48" spans="9:28" ht="18" customHeight="1">
      <c r="I48" s="83"/>
      <c r="AA48">
        <f t="shared" si="4"/>
      </c>
      <c r="AB48">
        <f t="shared" si="5"/>
      </c>
    </row>
    <row r="49" spans="9:28" ht="18" customHeight="1">
      <c r="I49" s="83"/>
      <c r="AA49">
        <f t="shared" si="4"/>
      </c>
      <c r="AB49">
        <f t="shared" si="5"/>
      </c>
    </row>
    <row r="50" spans="9:28" ht="18" customHeight="1">
      <c r="I50" s="83"/>
      <c r="AA50">
        <f t="shared" si="4"/>
      </c>
      <c r="AB50">
        <f t="shared" si="5"/>
      </c>
    </row>
    <row r="51" spans="9:28" ht="18" customHeight="1">
      <c r="I51" s="83"/>
      <c r="AA51">
        <f t="shared" si="4"/>
      </c>
      <c r="AB51">
        <f t="shared" si="5"/>
      </c>
    </row>
    <row r="52" spans="9:28" ht="18" customHeight="1">
      <c r="I52" s="83"/>
      <c r="AA52">
        <f t="shared" si="4"/>
      </c>
      <c r="AB52">
        <f t="shared" si="5"/>
      </c>
    </row>
    <row r="53" spans="9:28" ht="18" customHeight="1">
      <c r="I53" s="83"/>
      <c r="AA53">
        <f t="shared" si="4"/>
      </c>
      <c r="AB53">
        <f t="shared" si="5"/>
      </c>
    </row>
    <row r="54" spans="9:28" ht="18" customHeight="1">
      <c r="I54" s="83"/>
      <c r="AA54">
        <f t="shared" si="4"/>
      </c>
      <c r="AB54">
        <f t="shared" si="5"/>
      </c>
    </row>
    <row r="55" spans="9:28" ht="18" customHeight="1">
      <c r="I55" s="83"/>
      <c r="AA55">
        <f t="shared" si="4"/>
      </c>
      <c r="AB55">
        <f t="shared" si="5"/>
      </c>
    </row>
    <row r="56" spans="9:28" ht="18" customHeight="1">
      <c r="I56" s="83"/>
      <c r="AA56">
        <f t="shared" si="4"/>
      </c>
      <c r="AB56">
        <f t="shared" si="5"/>
      </c>
    </row>
    <row r="57" spans="9:28" ht="18" customHeight="1">
      <c r="I57" s="83"/>
      <c r="AA57">
        <f t="shared" si="4"/>
      </c>
      <c r="AB57">
        <f t="shared" si="5"/>
      </c>
    </row>
    <row r="58" ht="18" customHeight="1">
      <c r="I58" s="83"/>
    </row>
    <row r="59" ht="18" customHeight="1">
      <c r="I59" s="83"/>
    </row>
    <row r="60" ht="18" customHeight="1">
      <c r="I60" s="83"/>
    </row>
    <row r="61" ht="18" customHeight="1">
      <c r="I61" s="83"/>
    </row>
    <row r="62" ht="18" customHeight="1">
      <c r="I62" s="83"/>
    </row>
    <row r="63" ht="18" customHeight="1">
      <c r="I63" s="83"/>
    </row>
    <row r="64" ht="18" customHeight="1">
      <c r="I64" s="83"/>
    </row>
    <row r="65" ht="18" customHeight="1">
      <c r="I65" s="83"/>
    </row>
    <row r="66" ht="18" customHeight="1">
      <c r="I66" s="83"/>
    </row>
    <row r="67" ht="18" customHeight="1">
      <c r="I67" s="83"/>
    </row>
    <row r="68" ht="18" customHeight="1">
      <c r="I68" s="83"/>
    </row>
    <row r="69" ht="18" customHeight="1">
      <c r="I69" s="83"/>
    </row>
    <row r="70" ht="18" customHeight="1">
      <c r="I70" s="83"/>
    </row>
    <row r="71" ht="18" customHeight="1">
      <c r="I71" s="83"/>
    </row>
    <row r="72" ht="18" customHeight="1">
      <c r="I72" s="83"/>
    </row>
    <row r="73" ht="18" customHeight="1">
      <c r="I73" s="83"/>
    </row>
    <row r="74" ht="18" customHeight="1">
      <c r="I74" s="83"/>
    </row>
    <row r="75" ht="18" customHeight="1">
      <c r="I75" s="83"/>
    </row>
    <row r="76" ht="18" customHeight="1">
      <c r="I76" s="83"/>
    </row>
    <row r="77" ht="18" customHeight="1">
      <c r="I77" s="83"/>
    </row>
    <row r="78" ht="18" customHeight="1">
      <c r="I78" s="83"/>
    </row>
    <row r="79" ht="18" customHeight="1">
      <c r="I79" s="83"/>
    </row>
    <row r="80" ht="18" customHeight="1">
      <c r="I80" s="83"/>
    </row>
    <row r="81" ht="18" customHeight="1">
      <c r="I81" s="83"/>
    </row>
    <row r="82" ht="18" customHeight="1">
      <c r="I82" s="83"/>
    </row>
    <row r="83" ht="18" customHeight="1">
      <c r="I83" s="83"/>
    </row>
    <row r="84" ht="18" customHeight="1">
      <c r="I84" s="83"/>
    </row>
    <row r="85" ht="18" customHeight="1">
      <c r="I85" s="83"/>
    </row>
    <row r="86" ht="18" customHeight="1">
      <c r="I86" s="83"/>
    </row>
    <row r="87" ht="18" customHeight="1">
      <c r="I87" s="83"/>
    </row>
    <row r="88" ht="18" customHeight="1">
      <c r="I88" s="83"/>
    </row>
    <row r="89" ht="18" customHeight="1">
      <c r="I89" s="83"/>
    </row>
    <row r="90" ht="18" customHeight="1">
      <c r="I90" s="83"/>
    </row>
    <row r="91" ht="18" customHeight="1">
      <c r="I91" s="83"/>
    </row>
    <row r="92" ht="18" customHeight="1">
      <c r="I92" s="83"/>
    </row>
    <row r="93" ht="18" customHeight="1">
      <c r="I93" s="83"/>
    </row>
    <row r="94" ht="18" customHeight="1">
      <c r="I94" s="83"/>
    </row>
    <row r="95" ht="18" customHeight="1">
      <c r="I95" s="83"/>
    </row>
    <row r="96" ht="18" customHeight="1">
      <c r="I96" s="83"/>
    </row>
    <row r="97" ht="18" customHeight="1">
      <c r="I97" s="83"/>
    </row>
    <row r="98" ht="18" customHeight="1">
      <c r="I98" s="83"/>
    </row>
    <row r="99" ht="18" customHeight="1">
      <c r="I99" s="83"/>
    </row>
    <row r="100" ht="18" customHeight="1">
      <c r="I100" s="83"/>
    </row>
    <row r="101" ht="18" customHeight="1">
      <c r="I101" s="83"/>
    </row>
    <row r="102" ht="18" customHeight="1">
      <c r="I102" s="83"/>
    </row>
    <row r="103" ht="18" customHeight="1">
      <c r="I103" s="83"/>
    </row>
    <row r="104" ht="18" customHeight="1">
      <c r="I104" s="83"/>
    </row>
    <row r="105" ht="18" customHeight="1">
      <c r="I105" s="83"/>
    </row>
    <row r="106" ht="18" customHeight="1">
      <c r="I106" s="83"/>
    </row>
    <row r="107" ht="18" customHeight="1">
      <c r="I107" s="83"/>
    </row>
    <row r="108" ht="18" customHeight="1">
      <c r="I108" s="83"/>
    </row>
    <row r="109" ht="18" customHeight="1">
      <c r="I109" s="83"/>
    </row>
    <row r="110" ht="18" customHeight="1">
      <c r="I110" s="83"/>
    </row>
    <row r="111" ht="18" customHeight="1">
      <c r="I111" s="83"/>
    </row>
    <row r="112" ht="18" customHeight="1">
      <c r="I112" s="83"/>
    </row>
    <row r="113" ht="18" customHeight="1">
      <c r="I113" s="83"/>
    </row>
    <row r="114" ht="18" customHeight="1">
      <c r="I114" s="83"/>
    </row>
    <row r="115" ht="18" customHeight="1">
      <c r="I115" s="83"/>
    </row>
    <row r="116" ht="18" customHeight="1">
      <c r="I116" s="83"/>
    </row>
    <row r="117" ht="18" customHeight="1">
      <c r="I117" s="83"/>
    </row>
    <row r="118" ht="18" customHeight="1">
      <c r="I118" s="83"/>
    </row>
    <row r="119" ht="18" customHeight="1">
      <c r="I119" s="83"/>
    </row>
    <row r="120" ht="18" customHeight="1">
      <c r="I120" s="83"/>
    </row>
    <row r="121" ht="18" customHeight="1">
      <c r="I121" s="83"/>
    </row>
    <row r="122" ht="18" customHeight="1">
      <c r="I122" s="83"/>
    </row>
    <row r="123" ht="18" customHeight="1">
      <c r="I123" s="83"/>
    </row>
    <row r="124" ht="18" customHeight="1">
      <c r="I124" s="83"/>
    </row>
    <row r="125" ht="18" customHeight="1">
      <c r="I125" s="83"/>
    </row>
    <row r="126" ht="18" customHeight="1">
      <c r="I126" s="83"/>
    </row>
    <row r="127" ht="18" customHeight="1">
      <c r="I127" s="83"/>
    </row>
    <row r="128" ht="18" customHeight="1">
      <c r="I128" s="83"/>
    </row>
    <row r="129" ht="18" customHeight="1">
      <c r="I129" s="83"/>
    </row>
    <row r="130" ht="18" customHeight="1">
      <c r="I130" s="83"/>
    </row>
    <row r="131" ht="18" customHeight="1">
      <c r="I131" s="83"/>
    </row>
    <row r="132" ht="18" customHeight="1">
      <c r="I132" s="83"/>
    </row>
    <row r="133" ht="18" customHeight="1">
      <c r="I133" s="83"/>
    </row>
    <row r="134" ht="18" customHeight="1">
      <c r="I134" s="83"/>
    </row>
    <row r="135" ht="18" customHeight="1">
      <c r="I135" s="83"/>
    </row>
    <row r="136" ht="18" customHeight="1">
      <c r="I136" s="83"/>
    </row>
    <row r="137" ht="18" customHeight="1">
      <c r="I137" s="83"/>
    </row>
    <row r="138" ht="18" customHeight="1">
      <c r="I138" s="83"/>
    </row>
    <row r="139" ht="18" customHeight="1">
      <c r="I139" s="83"/>
    </row>
    <row r="140" ht="18" customHeight="1">
      <c r="I140" s="83"/>
    </row>
    <row r="141" ht="18" customHeight="1">
      <c r="I141" s="83"/>
    </row>
    <row r="142" ht="18" customHeight="1">
      <c r="I142" s="83"/>
    </row>
    <row r="143" ht="18" customHeight="1">
      <c r="I143" s="83"/>
    </row>
    <row r="144" ht="18" customHeight="1">
      <c r="I144" s="83"/>
    </row>
    <row r="145" ht="18" customHeight="1">
      <c r="I145" s="83"/>
    </row>
    <row r="146" ht="18" customHeight="1">
      <c r="I146" s="83"/>
    </row>
    <row r="147" ht="18" customHeight="1">
      <c r="I147" s="83"/>
    </row>
    <row r="148" ht="18" customHeight="1">
      <c r="I148" s="83"/>
    </row>
    <row r="149" ht="18" customHeight="1">
      <c r="I149" s="83"/>
    </row>
    <row r="150" ht="18" customHeight="1">
      <c r="I150" s="83"/>
    </row>
    <row r="151" ht="18" customHeight="1">
      <c r="I151" s="83"/>
    </row>
    <row r="152" ht="18" customHeight="1">
      <c r="I152" s="83"/>
    </row>
    <row r="153" ht="18" customHeight="1">
      <c r="I153" s="83"/>
    </row>
    <row r="154" ht="18" customHeight="1">
      <c r="I154" s="83"/>
    </row>
    <row r="155" ht="18" customHeight="1">
      <c r="I155" s="83"/>
    </row>
    <row r="156" ht="18" customHeight="1">
      <c r="I156" s="83"/>
    </row>
    <row r="157" ht="18" customHeight="1">
      <c r="I157" s="83"/>
    </row>
    <row r="158" ht="18" customHeight="1">
      <c r="I158" s="83"/>
    </row>
    <row r="159" ht="18" customHeight="1">
      <c r="I159" s="83"/>
    </row>
    <row r="160" ht="18" customHeight="1">
      <c r="I160" s="83"/>
    </row>
    <row r="161" ht="18" customHeight="1">
      <c r="I161" s="83"/>
    </row>
    <row r="162" ht="18" customHeight="1">
      <c r="I162" s="83"/>
    </row>
    <row r="163" ht="18" customHeight="1">
      <c r="I163" s="83"/>
    </row>
    <row r="164" ht="18" customHeight="1">
      <c r="I164" s="83"/>
    </row>
    <row r="165" ht="18" customHeight="1">
      <c r="I165" s="83"/>
    </row>
    <row r="166" ht="18" customHeight="1">
      <c r="I166" s="83"/>
    </row>
    <row r="167" ht="18" customHeight="1">
      <c r="I167" s="83"/>
    </row>
    <row r="168" ht="18" customHeight="1">
      <c r="I168" s="83"/>
    </row>
    <row r="169" ht="18" customHeight="1">
      <c r="I169" s="83"/>
    </row>
    <row r="170" ht="18" customHeight="1">
      <c r="I170" s="83"/>
    </row>
    <row r="171" ht="18" customHeight="1">
      <c r="I171" s="83"/>
    </row>
    <row r="172" ht="18" customHeight="1">
      <c r="I172" s="83"/>
    </row>
    <row r="173" ht="18" customHeight="1">
      <c r="I173" s="83"/>
    </row>
    <row r="174" ht="18" customHeight="1">
      <c r="I174" s="83"/>
    </row>
    <row r="175" ht="18" customHeight="1">
      <c r="I175" s="83"/>
    </row>
    <row r="176" ht="18" customHeight="1">
      <c r="I176" s="83"/>
    </row>
    <row r="177" ht="18" customHeight="1">
      <c r="I177" s="83"/>
    </row>
    <row r="178" ht="18" customHeight="1">
      <c r="I178" s="83"/>
    </row>
    <row r="179" ht="18" customHeight="1">
      <c r="I179" s="83"/>
    </row>
    <row r="180" ht="18" customHeight="1">
      <c r="I180" s="83"/>
    </row>
    <row r="181" ht="18" customHeight="1">
      <c r="I181" s="83"/>
    </row>
    <row r="182" ht="18" customHeight="1">
      <c r="I182" s="83"/>
    </row>
    <row r="183" ht="18" customHeight="1">
      <c r="I183" s="83"/>
    </row>
    <row r="184" ht="18" customHeight="1">
      <c r="I184" s="83"/>
    </row>
    <row r="185" ht="18" customHeight="1">
      <c r="I185" s="83"/>
    </row>
    <row r="186" ht="18" customHeight="1">
      <c r="I186" s="83"/>
    </row>
  </sheetData>
  <sheetProtection sheet="1" objects="1" scenarios="1" formatColumns="0" formatRows="0"/>
  <dataValidations count="14">
    <dataValidation type="list" allowBlank="1" showDropDown="1" showInputMessage="1" showErrorMessage="1" errorTitle="End-of-File Error" error="Data on this line will not be uploaded into the database. Insert a row above the line containing EOF." sqref="L61:IV739 B744:C65536 J80:J739 B80:I743 A80:A739 K38:Z60 AC38:IV60 AA58:AB60">
      <formula1>" "</formula1>
    </dataValidation>
    <dataValidation showInputMessage="1" showErrorMessage="1" sqref="B17"/>
    <dataValidation type="list" allowBlank="1" showInputMessage="1" showErrorMessage="1" prompt="Choose a Treasury Account from the drop-down menu.&#10;" error="You must select a Treasury Account." sqref="B18:B37">
      <formula1>Accounts</formula1>
    </dataValidation>
    <dataValidation errorStyle="warning" allowBlank="1" showInputMessage="1" showErrorMessage="1" sqref="J13"/>
    <dataValidation type="whole" allowBlank="1" showInputMessage="1" showErrorMessage="1" promptTitle="Funding Level" prompt="Enter the obligations for the program, consistent with the Budget Appendix." sqref="C18:E37">
      <formula1>0</formula1>
      <formula2>1000000000000</formula2>
    </dataValidation>
    <dataValidation allowBlank="1" showInputMessage="1" showErrorMessage="1" promptTitle="Composition" prompt="Explain in detaihow the program funding level was calculated  (e.g. all BA, combination of BA and transfers, etc.). " sqref="I13"/>
    <dataValidation type="whole" allowBlank="1" showInputMessage="1" showErrorMessage="1" promptTitle="Funding Level" prompt="Enter the BA for the program, consistent with the Budget Appendix." sqref="F18:H37">
      <formula1>0</formula1>
      <formula2>1000000000000</formula2>
    </dataValidation>
    <dataValidation type="list" allowBlank="1" showDropDown="1" showInputMessage="1" showErrorMessage="1" sqref="C9">
      <formula1>"2005"</formula1>
    </dataValidation>
    <dataValidation allowBlank="1" showInputMessage="1" showErrorMessage="1" prompt="If the amounts entered to the left are not strictly Obligations and BA, please explain. " sqref="I17:I37"/>
    <dataValidation type="list" allowBlank="1" showDropDown="1" showInputMessage="1" showErrorMessage="1" errorTitle="End-of-File Error" error="Data on this line will not be uploaded into the database. If you need additional rows, contact your PET representative. " sqref="B38:J79 A39:A79">
      <formula1>" "</formula1>
    </dataValidation>
    <dataValidation allowBlank="1" showInputMessage="1" showErrorMessage="1" sqref="A38"/>
    <dataValidation allowBlank="1" showInputMessage="1" showErrorMessage="1" promptTitle="Composition" prompt="Explain in detail how the program funding level was calculated  (e.g. all BA, combination of BA and user fees, etc.). " sqref="I12"/>
    <dataValidation type="whole" allowBlank="1" showInputMessage="1" showErrorMessage="1" sqref="C13:E13">
      <formula1>0</formula1>
      <formula2>1000000000000</formula2>
    </dataValidation>
    <dataValidation type="whole" allowBlank="1" showInputMessage="1" showErrorMessage="1" promptTitle="Program Funding Level" prompt="Enter the total resources available for use by the program. (Depending on the program, could be BA, user fees, obligation limitations, offsetting collections, etc.)" sqref="C12:E12">
      <formula1>0</formula1>
      <formula2>1000000000000</formula2>
    </dataValidation>
  </dataValidations>
  <printOptions/>
  <pageMargins left="0.75" right="0.75" top="1" bottom="1" header="0.5" footer="0.5"/>
  <pageSetup fitToHeight="200" fitToWidth="1" horizontalDpi="600" verticalDpi="600" orientation="landscape" scale="69" r:id="rId1"/>
</worksheet>
</file>

<file path=xl/worksheets/sheet5.xml><?xml version="1.0" encoding="utf-8"?>
<worksheet xmlns="http://schemas.openxmlformats.org/spreadsheetml/2006/main" xmlns:r="http://schemas.openxmlformats.org/officeDocument/2006/relationships">
  <sheetPr codeName="Sheet4"/>
  <dimension ref="A1:AD27"/>
  <sheetViews>
    <sheetView zoomScale="75" zoomScaleNormal="75" workbookViewId="0" topLeftCell="F9">
      <selection activeCell="H25" sqref="H25"/>
    </sheetView>
  </sheetViews>
  <sheetFormatPr defaultColWidth="9.140625" defaultRowHeight="12.75"/>
  <cols>
    <col min="1" max="5" width="3.57421875" style="0" hidden="1" customWidth="1"/>
    <col min="6" max="6" width="12.140625" style="0" customWidth="1"/>
    <col min="7" max="7" width="32.28125" style="0" bestFit="1" customWidth="1"/>
    <col min="8" max="8" width="28.28125" style="0" bestFit="1" customWidth="1"/>
    <col min="9" max="9" width="15.7109375" style="0" customWidth="1"/>
    <col min="10" max="10" width="28.28125" style="0" bestFit="1" customWidth="1"/>
    <col min="11" max="21" width="17.8515625" style="0" customWidth="1"/>
  </cols>
  <sheetData>
    <row r="1" spans="1:24" ht="15.75" hidden="1">
      <c r="A1" s="121"/>
      <c r="B1" s="94"/>
      <c r="C1" s="40"/>
      <c r="D1" s="122"/>
      <c r="E1" s="123"/>
      <c r="F1" s="124"/>
      <c r="G1" s="124"/>
      <c r="H1" s="124"/>
      <c r="I1" s="124"/>
      <c r="J1" s="124"/>
      <c r="K1" s="124"/>
      <c r="L1" s="124"/>
      <c r="M1" s="124"/>
      <c r="N1" s="124"/>
      <c r="O1" s="124"/>
      <c r="P1" s="124"/>
      <c r="Q1" s="124"/>
      <c r="R1" s="124"/>
      <c r="S1" s="124"/>
      <c r="T1" s="124"/>
      <c r="U1" s="124"/>
      <c r="V1" s="124"/>
      <c r="W1" s="124"/>
      <c r="X1" s="124"/>
    </row>
    <row r="2" spans="1:24" ht="15.75" hidden="1">
      <c r="A2" s="124" t="s">
        <v>1751</v>
      </c>
      <c r="B2" s="124"/>
      <c r="C2" s="124"/>
      <c r="D2" s="125"/>
      <c r="E2" s="122"/>
      <c r="F2" s="125"/>
      <c r="G2" s="125"/>
      <c r="H2" s="125"/>
      <c r="I2" s="126"/>
      <c r="J2" s="126"/>
      <c r="K2" s="126"/>
      <c r="L2" s="126"/>
      <c r="M2" s="126"/>
      <c r="N2" s="126"/>
      <c r="O2" s="126"/>
      <c r="P2" s="126"/>
      <c r="Q2" s="126"/>
      <c r="R2" s="126"/>
      <c r="S2" s="126"/>
      <c r="T2" s="126"/>
      <c r="U2" s="126"/>
      <c r="V2" s="126"/>
      <c r="W2" s="126"/>
      <c r="X2" s="126"/>
    </row>
    <row r="3" spans="1:24" ht="15.75" hidden="1">
      <c r="A3" s="126" t="s">
        <v>1754</v>
      </c>
      <c r="B3" s="126"/>
      <c r="C3" s="107"/>
      <c r="D3" s="127"/>
      <c r="E3" s="122"/>
      <c r="F3" s="125"/>
      <c r="G3" s="125"/>
      <c r="H3" s="125"/>
      <c r="I3" s="126"/>
      <c r="J3" s="126"/>
      <c r="K3" s="126"/>
      <c r="L3" s="126"/>
      <c r="M3" s="126"/>
      <c r="N3" s="126"/>
      <c r="O3" s="126"/>
      <c r="P3" s="126"/>
      <c r="Q3" s="126"/>
      <c r="R3" s="126"/>
      <c r="S3" s="126"/>
      <c r="T3" s="126"/>
      <c r="U3" s="126"/>
      <c r="V3" s="126"/>
      <c r="W3" s="126"/>
      <c r="X3" s="126"/>
    </row>
    <row r="4" spans="1:24" ht="15.75" hidden="1">
      <c r="A4" s="126" t="s">
        <v>1762</v>
      </c>
      <c r="B4" s="128" t="s">
        <v>1749</v>
      </c>
      <c r="C4" s="129" t="str">
        <f>Program_Type_Primary</f>
        <v>Block/Formula</v>
      </c>
      <c r="D4" s="129">
        <f>Program_Type_Secondary</f>
        <v>0</v>
      </c>
      <c r="E4" s="129">
        <f>Program_Type_Tertiary</f>
        <v>0</v>
      </c>
      <c r="F4" s="130"/>
      <c r="G4" s="130"/>
      <c r="H4" s="125"/>
      <c r="I4" s="126"/>
      <c r="J4" s="126"/>
      <c r="K4" s="126"/>
      <c r="L4" s="126"/>
      <c r="M4" s="126"/>
      <c r="N4" s="126"/>
      <c r="O4" s="126"/>
      <c r="P4" s="126"/>
      <c r="Q4" s="126"/>
      <c r="R4" s="126"/>
      <c r="S4" s="126"/>
      <c r="T4" s="126"/>
      <c r="U4" s="126"/>
      <c r="V4" s="126"/>
      <c r="W4" s="126"/>
      <c r="X4" s="126"/>
    </row>
    <row r="5" spans="1:24" ht="15.75" hidden="1">
      <c r="A5" s="126" t="s">
        <v>1762</v>
      </c>
      <c r="B5" s="128" t="s">
        <v>406</v>
      </c>
      <c r="C5" s="131" t="str">
        <f>Program_Name</f>
        <v>Low Income Home Energy Assistance Program</v>
      </c>
      <c r="D5" s="132"/>
      <c r="E5" s="133"/>
      <c r="F5" s="134"/>
      <c r="G5" s="134"/>
      <c r="H5" s="135"/>
      <c r="I5" s="124"/>
      <c r="J5" s="124"/>
      <c r="K5" s="124"/>
      <c r="L5" s="124"/>
      <c r="M5" s="124"/>
      <c r="N5" s="124"/>
      <c r="O5" s="124"/>
      <c r="P5" s="124"/>
      <c r="Q5" s="124"/>
      <c r="R5" s="124"/>
      <c r="S5" s="124"/>
      <c r="T5" s="124"/>
      <c r="U5" s="124"/>
      <c r="V5" s="124"/>
      <c r="W5" s="124"/>
      <c r="X5" s="124"/>
    </row>
    <row r="6" spans="1:24" ht="15.75" hidden="1">
      <c r="A6" s="124" t="s">
        <v>1762</v>
      </c>
      <c r="B6" s="128" t="s">
        <v>440</v>
      </c>
      <c r="C6" s="131">
        <f>Program_ID</f>
        <v>0</v>
      </c>
      <c r="D6" s="131"/>
      <c r="E6" s="136"/>
      <c r="F6" s="134"/>
      <c r="G6" s="134"/>
      <c r="H6" s="135"/>
      <c r="I6" s="124"/>
      <c r="J6" s="124"/>
      <c r="K6" s="124"/>
      <c r="L6" s="124"/>
      <c r="M6" s="124"/>
      <c r="N6" s="124"/>
      <c r="O6" s="124"/>
      <c r="P6" s="124"/>
      <c r="Q6" s="124"/>
      <c r="R6" s="124"/>
      <c r="S6" s="124"/>
      <c r="T6" s="124"/>
      <c r="U6" s="124"/>
      <c r="V6" s="124"/>
      <c r="W6" s="124"/>
      <c r="X6" s="124"/>
    </row>
    <row r="7" spans="1:24" ht="15.75" hidden="1">
      <c r="A7" s="124" t="s">
        <v>1762</v>
      </c>
      <c r="B7" s="128" t="s">
        <v>1759</v>
      </c>
      <c r="C7" s="131" t="str">
        <f>Agency_Name</f>
        <v>Department of Health and Human Services                         </v>
      </c>
      <c r="D7" s="137"/>
      <c r="E7" s="137"/>
      <c r="F7" s="134"/>
      <c r="G7" s="134"/>
      <c r="H7" s="135"/>
      <c r="I7" s="124"/>
      <c r="J7" s="124"/>
      <c r="K7" s="124"/>
      <c r="L7" s="124"/>
      <c r="M7" s="124"/>
      <c r="N7" s="124"/>
      <c r="O7" s="124"/>
      <c r="P7" s="124"/>
      <c r="Q7" s="124"/>
      <c r="R7" s="124"/>
      <c r="S7" s="124"/>
      <c r="T7" s="124"/>
      <c r="U7" s="124"/>
      <c r="V7" s="124"/>
      <c r="W7" s="124"/>
      <c r="X7" s="124"/>
    </row>
    <row r="8" spans="1:24" ht="18" customHeight="1" hidden="1">
      <c r="A8" s="124" t="s">
        <v>1762</v>
      </c>
      <c r="B8" s="128" t="s">
        <v>1760</v>
      </c>
      <c r="C8" s="131" t="str">
        <f>Bureau_Name</f>
        <v>Office of Community Services, ACF</v>
      </c>
      <c r="D8" s="137"/>
      <c r="E8" s="137"/>
      <c r="F8" s="134"/>
      <c r="G8" s="134"/>
      <c r="H8" s="135"/>
      <c r="I8" s="124"/>
      <c r="J8" s="124"/>
      <c r="K8" s="124"/>
      <c r="L8" s="124"/>
      <c r="M8" s="124"/>
      <c r="N8" s="124"/>
      <c r="O8" s="124"/>
      <c r="P8" s="124"/>
      <c r="Q8" s="124"/>
      <c r="R8" s="124"/>
      <c r="S8" s="124"/>
      <c r="T8" s="124"/>
      <c r="U8" s="124"/>
      <c r="V8" s="124"/>
      <c r="W8" s="124"/>
      <c r="X8" s="124"/>
    </row>
    <row r="9" spans="1:24" ht="15.75">
      <c r="A9" s="124" t="s">
        <v>1762</v>
      </c>
      <c r="B9" s="128" t="s">
        <v>197</v>
      </c>
      <c r="C9" s="138">
        <f>Year_data_collected</f>
        <v>2005</v>
      </c>
      <c r="D9" s="139"/>
      <c r="E9" s="140"/>
      <c r="F9" s="130"/>
      <c r="G9" s="130"/>
      <c r="H9" s="125"/>
      <c r="I9" s="126"/>
      <c r="J9" s="126"/>
      <c r="K9" s="126"/>
      <c r="L9" s="126"/>
      <c r="M9" s="126"/>
      <c r="N9" s="126"/>
      <c r="O9" s="126"/>
      <c r="P9" s="126"/>
      <c r="Q9" s="126"/>
      <c r="R9" s="126"/>
      <c r="S9" s="126"/>
      <c r="T9" s="126"/>
      <c r="U9" s="126"/>
      <c r="V9" s="126"/>
      <c r="W9" s="126"/>
      <c r="X9" s="126"/>
    </row>
    <row r="10" spans="1:24" ht="12.75">
      <c r="A10" s="124" t="s">
        <v>1754</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row>
    <row r="11" spans="1:10" ht="15.75">
      <c r="A11" s="124" t="s">
        <v>1754</v>
      </c>
      <c r="G11" s="274" t="s">
        <v>441</v>
      </c>
      <c r="H11" s="275"/>
      <c r="I11" s="275"/>
      <c r="J11" s="275"/>
    </row>
    <row r="12" ht="12.75">
      <c r="A12" s="124" t="s">
        <v>1754</v>
      </c>
    </row>
    <row r="13" spans="1:10" ht="15.75">
      <c r="A13" s="124" t="s">
        <v>1754</v>
      </c>
      <c r="G13" s="276" t="str">
        <f>'PART Qs &amp; Section Scoring'!C5</f>
        <v>Low Income Home Energy Assistance Program</v>
      </c>
      <c r="H13" s="276"/>
      <c r="I13" s="276"/>
      <c r="J13" s="276"/>
    </row>
    <row r="14" spans="1:10" ht="15.75">
      <c r="A14" s="124" t="s">
        <v>1754</v>
      </c>
      <c r="G14" s="63"/>
      <c r="H14" s="63"/>
      <c r="I14" s="63"/>
      <c r="J14" s="63"/>
    </row>
    <row r="15" ht="12.75">
      <c r="A15" s="124" t="s">
        <v>1754</v>
      </c>
    </row>
    <row r="16" spans="1:10" ht="15.75">
      <c r="A16" s="124" t="s">
        <v>1754</v>
      </c>
      <c r="G16" s="48" t="s">
        <v>280</v>
      </c>
      <c r="H16" s="48" t="s">
        <v>281</v>
      </c>
      <c r="I16" s="48" t="s">
        <v>282</v>
      </c>
      <c r="J16" s="48" t="s">
        <v>283</v>
      </c>
    </row>
    <row r="17" spans="1:30" ht="24" customHeight="1">
      <c r="A17" t="s">
        <v>101</v>
      </c>
      <c r="G17" s="1" t="s">
        <v>1745</v>
      </c>
      <c r="H17" s="2">
        <v>0.2</v>
      </c>
      <c r="I17" s="4">
        <f>ppurpose</f>
        <v>0.8</v>
      </c>
      <c r="J17" s="4">
        <f>(H17*I17)</f>
        <v>0.16000000000000003</v>
      </c>
      <c r="L17" s="35"/>
      <c r="AA17" s="120">
        <f>PY_Program_Funding_Level</f>
        <v>0</v>
      </c>
      <c r="AB17" s="120">
        <f>CY_Program_Funding_Level</f>
        <v>0</v>
      </c>
      <c r="AC17" s="120">
        <f>BY_Program_Funding_Level</f>
        <v>0</v>
      </c>
      <c r="AD17" s="120">
        <f>Composition_Program_Funding_Level</f>
        <v>0</v>
      </c>
    </row>
    <row r="18" spans="1:10" ht="15">
      <c r="A18" s="124" t="s">
        <v>1754</v>
      </c>
      <c r="G18" s="49"/>
      <c r="H18" s="51"/>
      <c r="I18" s="4"/>
      <c r="J18" s="4"/>
    </row>
    <row r="19" spans="1:15" ht="24.75" customHeight="1">
      <c r="A19" t="s">
        <v>102</v>
      </c>
      <c r="G19" s="1" t="s">
        <v>284</v>
      </c>
      <c r="H19" s="2">
        <v>0.1</v>
      </c>
      <c r="I19" s="4">
        <f>splanning</f>
        <v>0.375</v>
      </c>
      <c r="J19" s="4">
        <f>(H19*I19)</f>
        <v>0.037500000000000006</v>
      </c>
      <c r="N19" s="22"/>
      <c r="O19" s="22"/>
    </row>
    <row r="20" spans="1:15" ht="15.75">
      <c r="A20" s="124" t="s">
        <v>1754</v>
      </c>
      <c r="G20" s="1"/>
      <c r="H20" s="2"/>
      <c r="I20" s="3"/>
      <c r="J20" s="4"/>
      <c r="N20" s="22"/>
      <c r="O20" s="22"/>
    </row>
    <row r="21" spans="1:10" ht="24.75" customHeight="1">
      <c r="A21" t="s">
        <v>101</v>
      </c>
      <c r="G21" s="1" t="s">
        <v>285</v>
      </c>
      <c r="H21" s="2">
        <v>0.2</v>
      </c>
      <c r="I21" s="4">
        <f>pmanagement</f>
        <v>0.7777777777777779</v>
      </c>
      <c r="J21" s="4">
        <f>(H21*I21)</f>
        <v>0.15555555555555559</v>
      </c>
    </row>
    <row r="22" spans="1:10" ht="15">
      <c r="A22" s="124" t="s">
        <v>1754</v>
      </c>
      <c r="G22" s="49"/>
      <c r="H22" s="2"/>
      <c r="I22" s="3"/>
      <c r="J22" s="4"/>
    </row>
    <row r="23" spans="1:10" ht="24.75" customHeight="1">
      <c r="A23" t="s">
        <v>101</v>
      </c>
      <c r="G23" s="52" t="s">
        <v>286</v>
      </c>
      <c r="H23" s="2">
        <v>0.5</v>
      </c>
      <c r="I23" s="4">
        <f>presults</f>
        <v>0.165</v>
      </c>
      <c r="J23" s="4">
        <f>(H23*I23)</f>
        <v>0.0825</v>
      </c>
    </row>
    <row r="24" spans="1:10" ht="15">
      <c r="A24" s="124" t="s">
        <v>1754</v>
      </c>
      <c r="G24" s="49"/>
      <c r="H24" s="2"/>
      <c r="I24" s="3"/>
      <c r="J24" s="4"/>
    </row>
    <row r="25" spans="1:10" ht="24.75" customHeight="1">
      <c r="A25" t="s">
        <v>101</v>
      </c>
      <c r="G25" s="50" t="s">
        <v>287</v>
      </c>
      <c r="H25" s="47">
        <f>IF(SUM(H17,H19,H21,H23)=1,SUM(H17,H19,H21,H23),"Does not add up to 100%")</f>
        <v>1</v>
      </c>
      <c r="I25" s="46"/>
      <c r="J25" s="46">
        <f>SUM(J17:J24)</f>
        <v>0.43555555555555564</v>
      </c>
    </row>
    <row r="27" ht="12.75">
      <c r="A27" t="s">
        <v>35</v>
      </c>
    </row>
  </sheetData>
  <sheetProtection password="E597" sheet="1" objects="1" scenarios="1"/>
  <mergeCells count="2">
    <mergeCell ref="G11:J11"/>
    <mergeCell ref="G13:J13"/>
  </mergeCells>
  <dataValidations count="1">
    <dataValidation type="list" allowBlank="1" showDropDown="1" showInputMessage="1" showErrorMessage="1" sqref="C9">
      <formula1>"2005"</formula1>
    </dataValidation>
  </dataValidations>
  <printOptions horizontalCentered="1"/>
  <pageMargins left="0.75" right="0.75" top="1" bottom="1" header="0.5" footer="0.5"/>
  <pageSetup horizontalDpi="600" verticalDpi="600" orientation="landscape" r:id="rId1"/>
  <headerFooter alignWithMargins="0">
    <oddFooter>&amp;R&amp;"Arial,Bold"FY 2005 Budget</oddFooter>
  </headerFooter>
</worksheet>
</file>

<file path=xl/worksheets/sheet6.xml><?xml version="1.0" encoding="utf-8"?>
<worksheet xmlns="http://schemas.openxmlformats.org/spreadsheetml/2006/main" xmlns:r="http://schemas.openxmlformats.org/officeDocument/2006/relationships">
  <sheetPr codeName="Sheet7">
    <pageSetUpPr fitToPage="1"/>
  </sheetPr>
  <dimension ref="A1:O1372"/>
  <sheetViews>
    <sheetView zoomScale="75" zoomScaleNormal="75" workbookViewId="0" topLeftCell="A1">
      <selection activeCell="A2" sqref="A2:H3"/>
    </sheetView>
  </sheetViews>
  <sheetFormatPr defaultColWidth="9.140625" defaultRowHeight="12.75"/>
  <cols>
    <col min="1" max="1" width="58.00390625" style="0" bestFit="1" customWidth="1"/>
    <col min="2" max="2" width="10.421875" style="0" customWidth="1"/>
    <col min="3" max="3" width="32.00390625" style="0" bestFit="1" customWidth="1"/>
    <col min="4" max="4" width="48.00390625" style="0" bestFit="1" customWidth="1"/>
    <col min="5" max="5" width="15.421875" style="0" bestFit="1" customWidth="1"/>
    <col min="6" max="6" width="16.00390625" style="0" bestFit="1" customWidth="1"/>
    <col min="7" max="7" width="11.00390625" style="0" customWidth="1"/>
    <col min="8" max="8" width="10.421875" style="0" bestFit="1" customWidth="1"/>
    <col min="9" max="9" width="32.00390625" style="35" bestFit="1" customWidth="1"/>
  </cols>
  <sheetData>
    <row r="1" spans="1:15" s="42" customFormat="1" ht="25.5">
      <c r="A1" s="45" t="s">
        <v>1751</v>
      </c>
      <c r="B1" s="45" t="s">
        <v>1752</v>
      </c>
      <c r="C1" s="45" t="s">
        <v>401</v>
      </c>
      <c r="D1" s="44" t="s">
        <v>402</v>
      </c>
      <c r="E1" s="44" t="s">
        <v>412</v>
      </c>
      <c r="F1" s="44" t="s">
        <v>1747</v>
      </c>
      <c r="G1" s="45" t="s">
        <v>407</v>
      </c>
      <c r="H1" s="45" t="s">
        <v>283</v>
      </c>
      <c r="I1" s="45" t="s">
        <v>593</v>
      </c>
      <c r="J1" s="42" t="s">
        <v>419</v>
      </c>
      <c r="K1" s="42" t="s">
        <v>420</v>
      </c>
      <c r="L1" s="42" t="s">
        <v>421</v>
      </c>
      <c r="M1" s="42" t="s">
        <v>422</v>
      </c>
      <c r="N1" s="42" t="s">
        <v>423</v>
      </c>
      <c r="O1" s="42" t="s">
        <v>424</v>
      </c>
    </row>
    <row r="2" spans="1:9" ht="36">
      <c r="A2" t="s">
        <v>1750</v>
      </c>
      <c r="B2" s="162" t="s">
        <v>984</v>
      </c>
      <c r="C2" s="5" t="s">
        <v>1755</v>
      </c>
      <c r="D2" s="24"/>
      <c r="E2" s="23"/>
      <c r="F2" s="23"/>
      <c r="G2" s="13">
        <f>1/9</f>
        <v>0.1111111111111111</v>
      </c>
      <c r="H2" s="91">
        <f>IF(D2="yes",(1*G2),IF(D2="no",(0*G2),IF(AND(D2="NA",G2&lt;&gt;0),"Question weighting should be zero for questions answered NA","")))</f>
      </c>
      <c r="I2" s="35" t="s">
        <v>418</v>
      </c>
    </row>
    <row r="3" spans="1:9" ht="60">
      <c r="A3" t="s">
        <v>1750</v>
      </c>
      <c r="B3" s="162" t="s">
        <v>985</v>
      </c>
      <c r="C3" s="5" t="s">
        <v>1756</v>
      </c>
      <c r="D3" s="24"/>
      <c r="E3" s="23"/>
      <c r="F3" s="23"/>
      <c r="G3" s="13">
        <f>1/9</f>
        <v>0.1111111111111111</v>
      </c>
      <c r="H3" s="91">
        <f>IF(D3="yes",(1*G3),IF(D3="no",(0*G3),IF(AND(D3="NA",G3&lt;&gt;0),"Question weighting should be zero for questions answered NA","")))</f>
      </c>
      <c r="I3" s="35" t="s">
        <v>418</v>
      </c>
    </row>
    <row r="4" spans="1:9" ht="84">
      <c r="A4" t="s">
        <v>1750</v>
      </c>
      <c r="B4" s="162" t="s">
        <v>986</v>
      </c>
      <c r="C4" s="5" t="s">
        <v>71</v>
      </c>
      <c r="D4" s="24"/>
      <c r="E4" s="23"/>
      <c r="F4" s="23"/>
      <c r="G4" s="13">
        <f>1/11</f>
        <v>0.09090909090909091</v>
      </c>
      <c r="H4" s="91">
        <f>IF(D4="yes",(1*G12),IF(D4="no",(0*G12),IF(AND(D4="NA",G12&lt;&gt;0),"Question weighting should be zero for questions answered NA","")))</f>
      </c>
      <c r="I4" s="35" t="s">
        <v>417</v>
      </c>
    </row>
    <row r="5" spans="1:9" ht="60">
      <c r="A5" t="s">
        <v>1750</v>
      </c>
      <c r="B5" s="162" t="s">
        <v>987</v>
      </c>
      <c r="C5" s="5" t="s">
        <v>72</v>
      </c>
      <c r="D5" s="24"/>
      <c r="E5" s="23"/>
      <c r="F5" s="23"/>
      <c r="G5" s="13">
        <f>1/(COUNT('PART Qs &amp; Section Scoring'!B36:B46))</f>
        <v>0.14285714285714285</v>
      </c>
      <c r="H5" s="91">
        <f>IF(D5="yes",(1*G5),IF(D5="no",(0*G5),IF(AND(D5="NA",G5&lt;&gt;0),"Question weighting should be zero for questions answered NA","")))</f>
      </c>
      <c r="I5" s="35" t="s">
        <v>417</v>
      </c>
    </row>
    <row r="6" spans="1:9" ht="36">
      <c r="A6" t="s">
        <v>1750</v>
      </c>
      <c r="B6" s="162" t="s">
        <v>988</v>
      </c>
      <c r="C6" s="5" t="s">
        <v>73</v>
      </c>
      <c r="D6" s="24"/>
      <c r="E6" s="23"/>
      <c r="F6" s="23"/>
      <c r="G6" s="13">
        <f>1/6</f>
        <v>0.16666666666666666</v>
      </c>
      <c r="H6" s="91">
        <f>IF(D6="yes",(1*G6),IF(D6="no",(0*G6),IF(D6="small extent",(0.33*G6),IF(D6="large extent",(0.67*G6),IF(AND(D6="NA",G6&lt;&gt;0),"Question weighting should be zero for questions answered NA","")))))</f>
      </c>
      <c r="I6" s="35" t="s">
        <v>417</v>
      </c>
    </row>
    <row r="7" spans="1:9" ht="48">
      <c r="A7" t="s">
        <v>1750</v>
      </c>
      <c r="B7" s="162" t="s">
        <v>989</v>
      </c>
      <c r="C7" s="5" t="s">
        <v>1425</v>
      </c>
      <c r="D7" s="24"/>
      <c r="E7" s="23"/>
      <c r="F7" s="23"/>
      <c r="G7" s="13">
        <f>1/10</f>
        <v>0.1</v>
      </c>
      <c r="H7" s="91">
        <f aca="true" t="shared" si="0" ref="H7:H16">IF(D7="yes",(1*G7),IF(D7="no",(0*G7),IF(AND(D7="NA",G7&lt;&gt;0),"Question weighting should be zero for questions answered NA","")))</f>
      </c>
      <c r="I7" s="35" t="s">
        <v>416</v>
      </c>
    </row>
    <row r="8" spans="1:9" ht="36">
      <c r="A8" t="s">
        <v>1750</v>
      </c>
      <c r="B8" s="162" t="s">
        <v>990</v>
      </c>
      <c r="C8" s="5" t="s">
        <v>1755</v>
      </c>
      <c r="D8" s="24"/>
      <c r="E8" s="23"/>
      <c r="F8" s="23"/>
      <c r="G8" s="13">
        <f>1/10</f>
        <v>0.1</v>
      </c>
      <c r="H8" s="91">
        <f t="shared" si="0"/>
      </c>
      <c r="I8" s="35" t="s">
        <v>416</v>
      </c>
    </row>
    <row r="9" spans="1:9" ht="60">
      <c r="A9" t="s">
        <v>1750</v>
      </c>
      <c r="B9" s="162" t="s">
        <v>991</v>
      </c>
      <c r="C9" s="5" t="s">
        <v>1756</v>
      </c>
      <c r="D9" s="24"/>
      <c r="E9" s="23"/>
      <c r="F9" s="23"/>
      <c r="G9" s="13">
        <f>1/10</f>
        <v>0.1</v>
      </c>
      <c r="H9" s="91">
        <f t="shared" si="0"/>
      </c>
      <c r="I9" s="35" t="s">
        <v>416</v>
      </c>
    </row>
    <row r="10" spans="1:9" ht="60">
      <c r="A10" t="s">
        <v>1750</v>
      </c>
      <c r="B10" s="162" t="s">
        <v>992</v>
      </c>
      <c r="C10" s="5" t="s">
        <v>1426</v>
      </c>
      <c r="D10" s="24"/>
      <c r="E10" s="23"/>
      <c r="F10" s="23"/>
      <c r="G10" s="13">
        <f>1/9</f>
        <v>0.1111111111111111</v>
      </c>
      <c r="H10" s="91">
        <f t="shared" si="0"/>
      </c>
      <c r="I10" s="35" t="s">
        <v>415</v>
      </c>
    </row>
    <row r="11" spans="1:9" ht="60">
      <c r="A11" t="s">
        <v>1750</v>
      </c>
      <c r="B11" s="162" t="s">
        <v>993</v>
      </c>
      <c r="C11" s="5" t="s">
        <v>1707</v>
      </c>
      <c r="D11" s="24"/>
      <c r="E11" s="23"/>
      <c r="F11" s="23"/>
      <c r="G11" s="13">
        <f>1/9</f>
        <v>0.1111111111111111</v>
      </c>
      <c r="H11" s="91">
        <f t="shared" si="0"/>
      </c>
      <c r="I11" s="35" t="s">
        <v>415</v>
      </c>
    </row>
    <row r="12" spans="1:9" ht="72">
      <c r="A12" t="s">
        <v>1750</v>
      </c>
      <c r="B12" s="162" t="s">
        <v>994</v>
      </c>
      <c r="C12" s="5" t="s">
        <v>1708</v>
      </c>
      <c r="D12" s="24"/>
      <c r="E12" s="23"/>
      <c r="F12" s="23"/>
      <c r="G12" s="13">
        <f>1/11</f>
        <v>0.09090909090909091</v>
      </c>
      <c r="H12" s="91">
        <f t="shared" si="0"/>
      </c>
      <c r="I12" s="32" t="s">
        <v>414</v>
      </c>
    </row>
    <row r="13" spans="1:9" ht="84">
      <c r="A13" t="s">
        <v>1750</v>
      </c>
      <c r="B13" s="162" t="s">
        <v>995</v>
      </c>
      <c r="C13" s="5" t="s">
        <v>1709</v>
      </c>
      <c r="D13" s="24"/>
      <c r="E13" s="23"/>
      <c r="F13" s="23"/>
      <c r="G13" s="13">
        <f>1/11</f>
        <v>0.09090909090909091</v>
      </c>
      <c r="H13" s="91">
        <f t="shared" si="0"/>
      </c>
      <c r="I13" s="32" t="s">
        <v>414</v>
      </c>
    </row>
    <row r="14" spans="1:9" ht="120">
      <c r="A14" t="s">
        <v>1750</v>
      </c>
      <c r="B14" s="162" t="s">
        <v>996</v>
      </c>
      <c r="C14" s="5" t="s">
        <v>1710</v>
      </c>
      <c r="D14" s="24"/>
      <c r="E14" s="23"/>
      <c r="F14" s="23"/>
      <c r="G14" s="13">
        <f>1/11</f>
        <v>0.09090909090909091</v>
      </c>
      <c r="H14" s="91">
        <f t="shared" si="0"/>
      </c>
      <c r="I14" s="32" t="s">
        <v>414</v>
      </c>
    </row>
    <row r="15" spans="1:9" ht="60">
      <c r="A15" t="s">
        <v>1750</v>
      </c>
      <c r="B15" s="162" t="s">
        <v>997</v>
      </c>
      <c r="C15" s="5" t="s">
        <v>1549</v>
      </c>
      <c r="D15" s="24"/>
      <c r="E15" s="23"/>
      <c r="F15" s="23"/>
      <c r="G15" s="13">
        <f>1/11</f>
        <v>0.09090909090909091</v>
      </c>
      <c r="H15" s="91">
        <f t="shared" si="0"/>
      </c>
      <c r="I15" s="32" t="s">
        <v>414</v>
      </c>
    </row>
    <row r="16" spans="1:9" ht="60">
      <c r="A16" t="s">
        <v>1750</v>
      </c>
      <c r="B16" s="162" t="s">
        <v>998</v>
      </c>
      <c r="C16" s="5" t="s">
        <v>1446</v>
      </c>
      <c r="D16" s="24"/>
      <c r="E16" s="23"/>
      <c r="F16" s="23"/>
      <c r="G16" s="13">
        <f>1/11</f>
        <v>0.09090909090909091</v>
      </c>
      <c r="H16" s="91">
        <f t="shared" si="0"/>
      </c>
      <c r="I16" s="32" t="s">
        <v>414</v>
      </c>
    </row>
    <row r="17" spans="1:9" ht="48">
      <c r="A17" t="s">
        <v>1750</v>
      </c>
      <c r="B17" s="162" t="s">
        <v>999</v>
      </c>
      <c r="C17" s="5" t="s">
        <v>592</v>
      </c>
      <c r="D17" s="24"/>
      <c r="E17" s="23"/>
      <c r="F17" s="23"/>
      <c r="G17" s="13">
        <f>1/6</f>
        <v>0.16666666666666666</v>
      </c>
      <c r="H17" s="91">
        <f>IF(D17="yes",(1*G17),IF(D17="no",(0*G17),IF(D17="small extent",(0.33*G17),IF(D17="large extent",(0.67*G17),IF(AND(D17="NA",G17&lt;&gt;0),"Question weighting should be zero for questions answered NA","")))))</f>
      </c>
      <c r="I17" s="32" t="s">
        <v>414</v>
      </c>
    </row>
    <row r="18" spans="1:12" s="18" customFormat="1" ht="60">
      <c r="A18" t="s">
        <v>1750</v>
      </c>
      <c r="B18" s="162" t="s">
        <v>1000</v>
      </c>
      <c r="C18" s="5" t="s">
        <v>1447</v>
      </c>
      <c r="D18" s="24"/>
      <c r="E18" s="23"/>
      <c r="F18" s="23"/>
      <c r="G18" s="13">
        <f>1/12</f>
        <v>0.08333333333333333</v>
      </c>
      <c r="H18" s="91">
        <f>IF(D18="yes",(1*G18),IF(D18="no",(0*G18),IF(AND(D18="NA",G18&lt;&gt;0),"Question weighting should be zero for questions answered NA","")))</f>
      </c>
      <c r="I18" s="32" t="s">
        <v>413</v>
      </c>
      <c r="J18" s="30"/>
      <c r="K18" s="31"/>
      <c r="L18" s="31"/>
    </row>
    <row r="19" spans="1:12" s="18" customFormat="1" ht="48">
      <c r="A19" t="s">
        <v>1750</v>
      </c>
      <c r="B19" s="162" t="s">
        <v>1449</v>
      </c>
      <c r="C19" s="5" t="s">
        <v>1448</v>
      </c>
      <c r="D19" s="24"/>
      <c r="E19" s="23"/>
      <c r="F19" s="23"/>
      <c r="G19" s="13">
        <f>1/12</f>
        <v>0.08333333333333333</v>
      </c>
      <c r="H19" s="91"/>
      <c r="I19" s="32" t="s">
        <v>413</v>
      </c>
      <c r="J19" s="30"/>
      <c r="K19" s="31"/>
      <c r="L19" s="31"/>
    </row>
    <row r="20" spans="1:12" s="18" customFormat="1" ht="60">
      <c r="A20" t="s">
        <v>1750</v>
      </c>
      <c r="B20" s="162" t="s">
        <v>1451</v>
      </c>
      <c r="C20" s="5" t="s">
        <v>1450</v>
      </c>
      <c r="D20" s="24"/>
      <c r="E20" s="23"/>
      <c r="F20" s="23"/>
      <c r="G20" s="13">
        <f>1/8</f>
        <v>0.125</v>
      </c>
      <c r="H20" s="91"/>
      <c r="I20" s="32" t="s">
        <v>413</v>
      </c>
      <c r="J20" s="30"/>
      <c r="K20" s="31"/>
      <c r="L20" s="31"/>
    </row>
    <row r="21" spans="1:15" ht="12.75">
      <c r="A21" t="s">
        <v>1754</v>
      </c>
      <c r="B21" s="92">
        <v>1.1</v>
      </c>
      <c r="I21" s="32"/>
      <c r="O21" s="84"/>
    </row>
    <row r="22" spans="1:15" ht="12.75">
      <c r="A22" t="s">
        <v>1754</v>
      </c>
      <c r="B22" s="92">
        <v>1.2</v>
      </c>
      <c r="I22" s="32"/>
      <c r="O22" s="84"/>
    </row>
    <row r="23" spans="1:2" ht="12.75">
      <c r="A23" t="s">
        <v>1754</v>
      </c>
      <c r="B23" s="92">
        <v>1.3</v>
      </c>
    </row>
    <row r="24" spans="1:2" ht="12.75">
      <c r="A24" t="s">
        <v>1754</v>
      </c>
      <c r="B24" s="92">
        <v>1.4</v>
      </c>
    </row>
    <row r="25" spans="1:15" ht="12.75">
      <c r="A25" t="s">
        <v>1754</v>
      </c>
      <c r="B25" s="92">
        <v>1.5</v>
      </c>
      <c r="O25" s="159" t="s">
        <v>1090</v>
      </c>
    </row>
    <row r="26" spans="1:2" ht="12.75">
      <c r="A26" t="s">
        <v>1754</v>
      </c>
      <c r="B26" s="92">
        <v>2.1</v>
      </c>
    </row>
    <row r="27" spans="1:2" ht="12.75">
      <c r="A27" t="s">
        <v>1754</v>
      </c>
      <c r="B27" s="92">
        <v>2.2</v>
      </c>
    </row>
    <row r="28" spans="1:2" ht="12.75">
      <c r="A28" t="s">
        <v>1754</v>
      </c>
      <c r="B28" s="93">
        <v>2.3</v>
      </c>
    </row>
    <row r="29" spans="1:2" ht="12.75">
      <c r="A29" t="s">
        <v>1754</v>
      </c>
      <c r="B29" s="93">
        <v>2.4</v>
      </c>
    </row>
    <row r="30" spans="1:2" ht="12.75">
      <c r="A30" t="s">
        <v>1754</v>
      </c>
      <c r="B30" s="93">
        <v>2.5</v>
      </c>
    </row>
    <row r="31" spans="1:2" ht="12.75">
      <c r="A31" t="s">
        <v>1754</v>
      </c>
      <c r="B31" s="93">
        <v>2.6</v>
      </c>
    </row>
    <row r="32" spans="1:2" ht="12.75">
      <c r="A32" t="s">
        <v>1754</v>
      </c>
      <c r="B32" s="93">
        <v>2.7</v>
      </c>
    </row>
    <row r="33" spans="1:2" ht="12.75">
      <c r="A33" t="s">
        <v>1754</v>
      </c>
      <c r="B33" s="93">
        <v>2.8</v>
      </c>
    </row>
    <row r="34" spans="1:2" ht="12.75">
      <c r="A34" t="s">
        <v>1754</v>
      </c>
      <c r="B34" s="93">
        <v>3.1</v>
      </c>
    </row>
    <row r="35" spans="1:2" ht="12.75">
      <c r="A35" t="s">
        <v>1754</v>
      </c>
      <c r="B35" s="93">
        <v>3.2</v>
      </c>
    </row>
    <row r="36" spans="1:2" ht="12.75">
      <c r="A36" t="s">
        <v>1754</v>
      </c>
      <c r="B36" s="93">
        <v>3.3</v>
      </c>
    </row>
    <row r="37" spans="1:2" ht="12.75">
      <c r="A37" t="s">
        <v>1754</v>
      </c>
      <c r="B37" s="93">
        <v>3.4</v>
      </c>
    </row>
    <row r="38" spans="1:2" ht="12.75">
      <c r="A38" t="s">
        <v>1754</v>
      </c>
      <c r="B38" s="93">
        <v>3.5</v>
      </c>
    </row>
    <row r="39" spans="1:2" ht="12.75">
      <c r="A39" t="s">
        <v>1754</v>
      </c>
      <c r="B39" s="93">
        <v>3.6</v>
      </c>
    </row>
    <row r="40" spans="1:2" ht="12.75">
      <c r="A40" t="s">
        <v>1754</v>
      </c>
      <c r="B40" s="93">
        <v>3.7</v>
      </c>
    </row>
    <row r="41" spans="1:2" ht="12.75">
      <c r="A41" t="s">
        <v>1754</v>
      </c>
      <c r="B41" s="93">
        <v>4.1</v>
      </c>
    </row>
    <row r="42" spans="1:2" ht="12.75">
      <c r="A42" t="s">
        <v>1754</v>
      </c>
      <c r="B42" s="93">
        <v>4.2</v>
      </c>
    </row>
    <row r="43" spans="1:2" ht="12.75">
      <c r="A43" t="s">
        <v>1754</v>
      </c>
      <c r="B43" s="93">
        <v>4.3</v>
      </c>
    </row>
    <row r="44" spans="1:2" ht="12.75">
      <c r="A44" t="s">
        <v>1754</v>
      </c>
      <c r="B44" s="93">
        <v>4.4</v>
      </c>
    </row>
    <row r="45" spans="1:2" ht="12.75">
      <c r="A45" t="s">
        <v>1754</v>
      </c>
      <c r="B45" s="93">
        <v>4.5</v>
      </c>
    </row>
    <row r="51" spans="1:4" ht="12.75">
      <c r="A51" s="22" t="s">
        <v>880</v>
      </c>
      <c r="D51" s="22" t="s">
        <v>879</v>
      </c>
    </row>
    <row r="52" spans="1:4" ht="27">
      <c r="A52" t="s">
        <v>530</v>
      </c>
      <c r="B52">
        <v>5</v>
      </c>
      <c r="D52" s="141" t="s">
        <v>871</v>
      </c>
    </row>
    <row r="53" spans="1:4" ht="27">
      <c r="A53" t="s">
        <v>531</v>
      </c>
      <c r="B53">
        <v>6</v>
      </c>
      <c r="D53" s="141" t="s">
        <v>872</v>
      </c>
    </row>
    <row r="54" spans="1:4" ht="27">
      <c r="A54" t="s">
        <v>532</v>
      </c>
      <c r="B54">
        <v>7</v>
      </c>
      <c r="D54" s="141" t="s">
        <v>873</v>
      </c>
    </row>
    <row r="55" spans="1:4" ht="13.5">
      <c r="A55" t="s">
        <v>1099</v>
      </c>
      <c r="B55">
        <v>18</v>
      </c>
      <c r="D55" s="141" t="s">
        <v>874</v>
      </c>
    </row>
    <row r="56" spans="1:4" ht="27">
      <c r="A56" t="s">
        <v>543</v>
      </c>
      <c r="B56">
        <v>19</v>
      </c>
      <c r="D56" s="141" t="s">
        <v>875</v>
      </c>
    </row>
    <row r="57" spans="1:4" ht="27">
      <c r="A57" t="s">
        <v>533</v>
      </c>
      <c r="B57">
        <v>9</v>
      </c>
      <c r="D57" s="141" t="s">
        <v>876</v>
      </c>
    </row>
    <row r="58" spans="1:4" ht="27">
      <c r="A58" t="s">
        <v>1234</v>
      </c>
      <c r="B58">
        <v>24</v>
      </c>
      <c r="D58" s="141" t="s">
        <v>877</v>
      </c>
    </row>
    <row r="59" spans="1:4" ht="27">
      <c r="A59" t="s">
        <v>1235</v>
      </c>
      <c r="B59">
        <v>25</v>
      </c>
      <c r="D59" s="141" t="s">
        <v>878</v>
      </c>
    </row>
    <row r="60" spans="1:4" ht="27">
      <c r="A60" t="s">
        <v>726</v>
      </c>
      <c r="B60">
        <v>11</v>
      </c>
      <c r="D60" s="141" t="s">
        <v>823</v>
      </c>
    </row>
    <row r="61" spans="1:4" ht="27">
      <c r="A61" t="s">
        <v>727</v>
      </c>
      <c r="B61">
        <v>12</v>
      </c>
      <c r="D61" s="141" t="s">
        <v>824</v>
      </c>
    </row>
    <row r="62" spans="1:4" ht="27">
      <c r="A62" t="s">
        <v>728</v>
      </c>
      <c r="B62">
        <v>14</v>
      </c>
      <c r="D62" s="141" t="s">
        <v>825</v>
      </c>
    </row>
    <row r="63" spans="1:4" ht="27">
      <c r="A63" t="s">
        <v>725</v>
      </c>
      <c r="B63">
        <v>10</v>
      </c>
      <c r="D63" s="141" t="s">
        <v>826</v>
      </c>
    </row>
    <row r="64" spans="1:4" ht="27">
      <c r="A64" t="s">
        <v>729</v>
      </c>
      <c r="B64">
        <v>15</v>
      </c>
      <c r="D64" s="141" t="s">
        <v>827</v>
      </c>
    </row>
    <row r="65" spans="1:4" ht="27">
      <c r="A65" t="s">
        <v>545</v>
      </c>
      <c r="B65">
        <v>21</v>
      </c>
      <c r="D65" s="141" t="s">
        <v>828</v>
      </c>
    </row>
    <row r="66" spans="1:4" ht="27">
      <c r="A66" t="s">
        <v>1224</v>
      </c>
      <c r="B66">
        <v>29</v>
      </c>
      <c r="D66" s="141" t="s">
        <v>442</v>
      </c>
    </row>
    <row r="67" spans="1:4" ht="13.5">
      <c r="A67" t="s">
        <v>777</v>
      </c>
      <c r="B67">
        <v>302</v>
      </c>
      <c r="D67" s="141" t="s">
        <v>443</v>
      </c>
    </row>
    <row r="68" spans="1:4" ht="27">
      <c r="A68" t="s">
        <v>778</v>
      </c>
      <c r="B68">
        <v>306</v>
      </c>
      <c r="D68" s="141" t="s">
        <v>444</v>
      </c>
    </row>
    <row r="69" spans="1:4" ht="13.5">
      <c r="A69" t="s">
        <v>779</v>
      </c>
      <c r="B69">
        <v>309</v>
      </c>
      <c r="D69" s="141" t="s">
        <v>445</v>
      </c>
    </row>
    <row r="70" spans="1:4" ht="27">
      <c r="A70" t="s">
        <v>3</v>
      </c>
      <c r="B70">
        <v>310</v>
      </c>
      <c r="D70" s="141" t="s">
        <v>924</v>
      </c>
    </row>
    <row r="71" spans="1:4" ht="27">
      <c r="A71" t="s">
        <v>4</v>
      </c>
      <c r="B71">
        <v>313</v>
      </c>
      <c r="D71" s="141" t="s">
        <v>925</v>
      </c>
    </row>
    <row r="72" spans="1:4" ht="27">
      <c r="A72" t="s">
        <v>832</v>
      </c>
      <c r="B72">
        <v>514</v>
      </c>
      <c r="D72" s="141" t="s">
        <v>926</v>
      </c>
    </row>
    <row r="73" spans="1:4" ht="27">
      <c r="A73" t="s">
        <v>5</v>
      </c>
      <c r="B73">
        <v>316</v>
      </c>
      <c r="D73" s="141" t="s">
        <v>927</v>
      </c>
    </row>
    <row r="74" spans="1:4" ht="27">
      <c r="A74" t="s">
        <v>33</v>
      </c>
      <c r="B74">
        <v>510</v>
      </c>
      <c r="D74" s="141" t="s">
        <v>928</v>
      </c>
    </row>
    <row r="75" spans="1:4" ht="27">
      <c r="A75" t="s">
        <v>23</v>
      </c>
      <c r="B75">
        <v>465</v>
      </c>
      <c r="D75" s="141" t="s">
        <v>929</v>
      </c>
    </row>
    <row r="76" spans="1:4" ht="27">
      <c r="A76" t="s">
        <v>6</v>
      </c>
      <c r="B76">
        <v>323</v>
      </c>
      <c r="D76" s="141" t="s">
        <v>930</v>
      </c>
    </row>
    <row r="77" spans="1:4" ht="27">
      <c r="A77" t="s">
        <v>548</v>
      </c>
      <c r="B77">
        <v>326</v>
      </c>
      <c r="D77" s="141" t="s">
        <v>931</v>
      </c>
    </row>
    <row r="78" spans="1:4" ht="27">
      <c r="A78" t="s">
        <v>833</v>
      </c>
      <c r="B78">
        <v>515</v>
      </c>
      <c r="D78" s="141" t="s">
        <v>932</v>
      </c>
    </row>
    <row r="79" spans="1:4" ht="27">
      <c r="A79" t="s">
        <v>549</v>
      </c>
      <c r="B79">
        <v>338</v>
      </c>
      <c r="D79" s="141" t="s">
        <v>933</v>
      </c>
    </row>
    <row r="80" spans="1:4" ht="27">
      <c r="A80" t="s">
        <v>550</v>
      </c>
      <c r="B80">
        <v>339</v>
      </c>
      <c r="D80" s="141" t="s">
        <v>934</v>
      </c>
    </row>
    <row r="81" spans="1:4" ht="27">
      <c r="A81" t="s">
        <v>32</v>
      </c>
      <c r="B81">
        <v>507</v>
      </c>
      <c r="D81" s="141" t="s">
        <v>935</v>
      </c>
    </row>
    <row r="82" spans="1:4" ht="27">
      <c r="A82" t="s">
        <v>551</v>
      </c>
      <c r="B82">
        <v>343</v>
      </c>
      <c r="D82" s="141" t="s">
        <v>936</v>
      </c>
    </row>
    <row r="83" spans="1:4" ht="27">
      <c r="A83" t="s">
        <v>27</v>
      </c>
      <c r="B83">
        <v>485</v>
      </c>
      <c r="D83" s="141" t="s">
        <v>937</v>
      </c>
    </row>
    <row r="84" spans="1:4" ht="27">
      <c r="A84" t="s">
        <v>552</v>
      </c>
      <c r="B84">
        <v>344</v>
      </c>
      <c r="D84" s="141" t="s">
        <v>889</v>
      </c>
    </row>
    <row r="85" spans="1:4" ht="27">
      <c r="A85" t="s">
        <v>776</v>
      </c>
      <c r="B85">
        <v>202</v>
      </c>
      <c r="D85" s="141" t="s">
        <v>890</v>
      </c>
    </row>
    <row r="86" spans="1:4" ht="27">
      <c r="A86" t="s">
        <v>553</v>
      </c>
      <c r="B86">
        <v>345</v>
      </c>
      <c r="D86" s="141" t="s">
        <v>891</v>
      </c>
    </row>
    <row r="87" spans="1:4" ht="27">
      <c r="A87" t="s">
        <v>1538</v>
      </c>
      <c r="B87">
        <v>511</v>
      </c>
      <c r="D87" s="141" t="s">
        <v>892</v>
      </c>
    </row>
    <row r="88" spans="1:4" ht="27">
      <c r="A88" t="s">
        <v>554</v>
      </c>
      <c r="B88">
        <v>347</v>
      </c>
      <c r="D88" s="141" t="s">
        <v>220</v>
      </c>
    </row>
    <row r="89" spans="1:4" ht="27">
      <c r="A89" t="s">
        <v>835</v>
      </c>
      <c r="B89">
        <v>517</v>
      </c>
      <c r="D89" s="141" t="s">
        <v>221</v>
      </c>
    </row>
    <row r="90" spans="1:4" ht="27">
      <c r="A90" t="s">
        <v>1641</v>
      </c>
      <c r="B90">
        <v>513</v>
      </c>
      <c r="D90" s="141" t="s">
        <v>222</v>
      </c>
    </row>
    <row r="91" spans="1:4" ht="27">
      <c r="A91" t="s">
        <v>16</v>
      </c>
      <c r="B91">
        <v>349</v>
      </c>
      <c r="D91" s="141" t="s">
        <v>223</v>
      </c>
    </row>
    <row r="92" spans="1:4" ht="27">
      <c r="A92" t="s">
        <v>174</v>
      </c>
      <c r="B92">
        <v>525</v>
      </c>
      <c r="D92" s="141" t="s">
        <v>224</v>
      </c>
    </row>
    <row r="93" spans="1:4" ht="27">
      <c r="A93" t="s">
        <v>544</v>
      </c>
      <c r="B93">
        <v>20</v>
      </c>
      <c r="D93" s="141" t="s">
        <v>225</v>
      </c>
    </row>
    <row r="94" spans="1:4" ht="27">
      <c r="A94" t="s">
        <v>17</v>
      </c>
      <c r="B94">
        <v>350</v>
      </c>
      <c r="D94" s="141" t="s">
        <v>226</v>
      </c>
    </row>
    <row r="95" spans="1:4" ht="27">
      <c r="A95" t="s">
        <v>1225</v>
      </c>
      <c r="B95">
        <v>100</v>
      </c>
      <c r="D95" s="141" t="s">
        <v>1359</v>
      </c>
    </row>
    <row r="96" spans="1:4" ht="27">
      <c r="A96" t="s">
        <v>18</v>
      </c>
      <c r="B96">
        <v>351</v>
      </c>
      <c r="D96" s="141" t="s">
        <v>1360</v>
      </c>
    </row>
    <row r="97" spans="1:4" ht="27">
      <c r="A97" t="s">
        <v>346</v>
      </c>
      <c r="B97">
        <v>352</v>
      </c>
      <c r="D97" s="141" t="s">
        <v>1361</v>
      </c>
    </row>
    <row r="98" spans="1:4" ht="27">
      <c r="A98" t="s">
        <v>347</v>
      </c>
      <c r="B98">
        <v>354</v>
      </c>
      <c r="D98" s="141" t="s">
        <v>1362</v>
      </c>
    </row>
    <row r="99" spans="1:4" ht="27">
      <c r="A99" t="s">
        <v>348</v>
      </c>
      <c r="B99">
        <v>355</v>
      </c>
      <c r="D99" s="141" t="s">
        <v>1363</v>
      </c>
    </row>
    <row r="100" spans="1:4" ht="27">
      <c r="A100" t="s">
        <v>349</v>
      </c>
      <c r="B100">
        <v>356</v>
      </c>
      <c r="D100" s="141" t="s">
        <v>1364</v>
      </c>
    </row>
    <row r="101" spans="1:4" ht="13.5">
      <c r="A101" t="s">
        <v>350</v>
      </c>
      <c r="B101">
        <v>357</v>
      </c>
      <c r="D101" s="141" t="s">
        <v>1365</v>
      </c>
    </row>
    <row r="102" spans="1:4" ht="27">
      <c r="A102" t="s">
        <v>1226</v>
      </c>
      <c r="B102">
        <v>154</v>
      </c>
      <c r="D102" s="141" t="s">
        <v>1366</v>
      </c>
    </row>
    <row r="103" spans="1:4" ht="27">
      <c r="A103" t="s">
        <v>351</v>
      </c>
      <c r="B103">
        <v>360</v>
      </c>
      <c r="D103" s="141" t="s">
        <v>1367</v>
      </c>
    </row>
    <row r="104" spans="1:4" ht="27">
      <c r="A104" t="s">
        <v>352</v>
      </c>
      <c r="B104">
        <v>361</v>
      </c>
      <c r="D104" s="141" t="s">
        <v>1368</v>
      </c>
    </row>
    <row r="105" spans="1:4" ht="27">
      <c r="A105" t="s">
        <v>353</v>
      </c>
      <c r="B105">
        <v>362</v>
      </c>
      <c r="D105" s="141" t="s">
        <v>1369</v>
      </c>
    </row>
    <row r="106" spans="1:4" ht="27">
      <c r="A106" t="s">
        <v>354</v>
      </c>
      <c r="B106">
        <v>364</v>
      </c>
      <c r="D106" s="141" t="s">
        <v>1370</v>
      </c>
    </row>
    <row r="107" spans="1:4" ht="27">
      <c r="A107" t="s">
        <v>355</v>
      </c>
      <c r="B107">
        <v>365</v>
      </c>
      <c r="D107" s="141" t="s">
        <v>1371</v>
      </c>
    </row>
    <row r="108" spans="1:4" ht="27">
      <c r="A108" t="s">
        <v>173</v>
      </c>
      <c r="B108">
        <v>523</v>
      </c>
      <c r="D108" s="141" t="s">
        <v>1372</v>
      </c>
    </row>
    <row r="109" spans="1:4" ht="13.5">
      <c r="A109" t="s">
        <v>356</v>
      </c>
      <c r="B109">
        <v>366</v>
      </c>
      <c r="D109" s="141" t="s">
        <v>1373</v>
      </c>
    </row>
    <row r="110" spans="1:4" ht="27">
      <c r="A110" t="s">
        <v>1314</v>
      </c>
      <c r="B110">
        <v>367</v>
      </c>
      <c r="D110" s="141" t="s">
        <v>1374</v>
      </c>
    </row>
    <row r="111" spans="1:4" ht="27">
      <c r="A111" t="s">
        <v>1315</v>
      </c>
      <c r="B111">
        <v>368</v>
      </c>
      <c r="D111" s="141" t="s">
        <v>1375</v>
      </c>
    </row>
    <row r="112" spans="1:4" ht="13.5">
      <c r="A112" t="s">
        <v>1316</v>
      </c>
      <c r="B112">
        <v>369</v>
      </c>
      <c r="D112" s="141" t="s">
        <v>1376</v>
      </c>
    </row>
    <row r="113" spans="1:4" ht="27">
      <c r="A113" t="s">
        <v>1317</v>
      </c>
      <c r="B113">
        <v>370</v>
      </c>
      <c r="D113" s="141" t="s">
        <v>1377</v>
      </c>
    </row>
    <row r="114" spans="1:4" ht="13.5">
      <c r="A114" t="s">
        <v>1233</v>
      </c>
      <c r="B114">
        <v>23</v>
      </c>
      <c r="D114" s="141" t="s">
        <v>1378</v>
      </c>
    </row>
    <row r="115" spans="1:4" ht="13.5">
      <c r="A115" t="s">
        <v>1318</v>
      </c>
      <c r="B115">
        <v>372</v>
      </c>
      <c r="D115" s="141" t="s">
        <v>1379</v>
      </c>
    </row>
    <row r="116" spans="1:4" ht="27">
      <c r="A116" t="s">
        <v>1319</v>
      </c>
      <c r="B116">
        <v>373</v>
      </c>
      <c r="D116" s="141" t="s">
        <v>1380</v>
      </c>
    </row>
    <row r="117" spans="1:4" ht="13.5">
      <c r="A117" t="s">
        <v>25</v>
      </c>
      <c r="B117">
        <v>474</v>
      </c>
      <c r="D117" s="141" t="s">
        <v>1381</v>
      </c>
    </row>
    <row r="118" spans="1:4" ht="27">
      <c r="A118" t="s">
        <v>24</v>
      </c>
      <c r="B118">
        <v>467</v>
      </c>
      <c r="D118" s="141" t="s">
        <v>505</v>
      </c>
    </row>
    <row r="119" spans="1:4" ht="27">
      <c r="A119" t="s">
        <v>774</v>
      </c>
      <c r="B119">
        <v>184</v>
      </c>
      <c r="D119" s="141" t="s">
        <v>506</v>
      </c>
    </row>
    <row r="120" spans="1:4" ht="27">
      <c r="A120" t="s">
        <v>1320</v>
      </c>
      <c r="B120">
        <v>378</v>
      </c>
      <c r="D120" s="141" t="s">
        <v>507</v>
      </c>
    </row>
    <row r="121" spans="1:4" ht="27">
      <c r="A121" t="s">
        <v>1321</v>
      </c>
      <c r="B121">
        <v>381</v>
      </c>
      <c r="D121" s="141" t="s">
        <v>508</v>
      </c>
    </row>
    <row r="122" spans="1:4" ht="27">
      <c r="A122" t="s">
        <v>2</v>
      </c>
      <c r="B122">
        <v>382</v>
      </c>
      <c r="D122" s="141" t="s">
        <v>509</v>
      </c>
    </row>
    <row r="123" spans="1:4" ht="27">
      <c r="A123" t="s">
        <v>1442</v>
      </c>
      <c r="B123">
        <v>385</v>
      </c>
      <c r="D123" s="141" t="s">
        <v>1513</v>
      </c>
    </row>
    <row r="124" spans="1:4" ht="27">
      <c r="A124" t="s">
        <v>1443</v>
      </c>
      <c r="B124">
        <v>387</v>
      </c>
      <c r="D124" s="141" t="s">
        <v>1410</v>
      </c>
    </row>
    <row r="125" spans="1:4" ht="27">
      <c r="A125" t="s">
        <v>1444</v>
      </c>
      <c r="B125">
        <v>389</v>
      </c>
      <c r="D125" s="141" t="s">
        <v>1411</v>
      </c>
    </row>
    <row r="126" spans="1:4" ht="27">
      <c r="A126" t="s">
        <v>29</v>
      </c>
      <c r="B126">
        <v>487</v>
      </c>
      <c r="D126" s="141" t="s">
        <v>1412</v>
      </c>
    </row>
    <row r="127" spans="1:4" ht="27">
      <c r="A127" t="s">
        <v>1221</v>
      </c>
      <c r="B127">
        <v>26</v>
      </c>
      <c r="D127" s="141" t="s">
        <v>1413</v>
      </c>
    </row>
    <row r="128" spans="1:4" ht="27">
      <c r="A128" t="s">
        <v>1445</v>
      </c>
      <c r="B128">
        <v>393</v>
      </c>
      <c r="D128" s="141" t="s">
        <v>1414</v>
      </c>
    </row>
    <row r="129" spans="1:4" ht="27">
      <c r="A129" t="s">
        <v>53</v>
      </c>
      <c r="B129">
        <v>394</v>
      </c>
      <c r="D129" s="141" t="s">
        <v>1415</v>
      </c>
    </row>
    <row r="130" spans="1:4" ht="13.5">
      <c r="A130" t="s">
        <v>54</v>
      </c>
      <c r="B130">
        <v>400</v>
      </c>
      <c r="D130" s="141" t="s">
        <v>1416</v>
      </c>
    </row>
    <row r="131" spans="1:4" ht="27">
      <c r="A131" t="s">
        <v>1310</v>
      </c>
      <c r="B131">
        <v>413</v>
      </c>
      <c r="D131" s="141" t="s">
        <v>1417</v>
      </c>
    </row>
    <row r="132" spans="1:4" ht="27">
      <c r="A132" t="s">
        <v>1311</v>
      </c>
      <c r="B132">
        <v>415</v>
      </c>
      <c r="D132" s="141" t="s">
        <v>1203</v>
      </c>
    </row>
    <row r="133" spans="1:4" ht="27">
      <c r="A133" t="s">
        <v>30</v>
      </c>
      <c r="B133">
        <v>492</v>
      </c>
      <c r="D133" s="141" t="s">
        <v>1129</v>
      </c>
    </row>
    <row r="134" spans="1:4" ht="27">
      <c r="A134" t="s">
        <v>1312</v>
      </c>
      <c r="B134">
        <v>417</v>
      </c>
      <c r="D134" s="141" t="s">
        <v>1130</v>
      </c>
    </row>
    <row r="135" spans="1:4" ht="27">
      <c r="A135" t="s">
        <v>1539</v>
      </c>
      <c r="B135">
        <v>418</v>
      </c>
      <c r="D135" s="141" t="s">
        <v>1131</v>
      </c>
    </row>
    <row r="136" spans="1:4" ht="27">
      <c r="A136" t="s">
        <v>1540</v>
      </c>
      <c r="B136">
        <v>420</v>
      </c>
      <c r="D136" s="141" t="s">
        <v>1132</v>
      </c>
    </row>
    <row r="137" spans="1:4" ht="27">
      <c r="A137" t="s">
        <v>1541</v>
      </c>
      <c r="B137">
        <v>421</v>
      </c>
      <c r="D137" s="141" t="s">
        <v>1133</v>
      </c>
    </row>
    <row r="138" spans="1:4" ht="27">
      <c r="A138" t="s">
        <v>1542</v>
      </c>
      <c r="B138">
        <v>422</v>
      </c>
      <c r="D138" s="141" t="s">
        <v>1134</v>
      </c>
    </row>
    <row r="139" spans="1:4" ht="27">
      <c r="A139" t="s">
        <v>1168</v>
      </c>
      <c r="B139">
        <v>424</v>
      </c>
      <c r="D139" s="141" t="s">
        <v>1135</v>
      </c>
    </row>
    <row r="140" spans="1:4" ht="13.5">
      <c r="A140" t="s">
        <v>836</v>
      </c>
      <c r="B140">
        <v>518</v>
      </c>
      <c r="D140" s="141" t="s">
        <v>1136</v>
      </c>
    </row>
    <row r="141" spans="1:4" ht="27">
      <c r="A141" t="s">
        <v>1169</v>
      </c>
      <c r="B141">
        <v>428</v>
      </c>
      <c r="D141" s="141" t="s">
        <v>1137</v>
      </c>
    </row>
    <row r="142" spans="1:4" ht="27">
      <c r="A142" t="s">
        <v>1170</v>
      </c>
      <c r="B142">
        <v>429</v>
      </c>
      <c r="D142" s="141" t="s">
        <v>1138</v>
      </c>
    </row>
    <row r="143" spans="1:4" ht="27">
      <c r="A143" t="s">
        <v>136</v>
      </c>
      <c r="B143">
        <v>431</v>
      </c>
      <c r="D143" s="141" t="s">
        <v>1139</v>
      </c>
    </row>
    <row r="144" spans="1:4" ht="27">
      <c r="A144" t="s">
        <v>137</v>
      </c>
      <c r="B144">
        <v>432</v>
      </c>
      <c r="D144" s="141" t="s">
        <v>512</v>
      </c>
    </row>
    <row r="145" spans="1:4" ht="13.5">
      <c r="A145" t="s">
        <v>138</v>
      </c>
      <c r="B145">
        <v>434</v>
      </c>
      <c r="D145" s="141" t="s">
        <v>513</v>
      </c>
    </row>
    <row r="146" spans="1:4" ht="27">
      <c r="A146" t="s">
        <v>139</v>
      </c>
      <c r="B146">
        <v>435</v>
      </c>
      <c r="D146" s="141" t="s">
        <v>514</v>
      </c>
    </row>
    <row r="147" spans="1:4" ht="13.5">
      <c r="A147" t="s">
        <v>1222</v>
      </c>
      <c r="B147">
        <v>27</v>
      </c>
      <c r="D147" s="141" t="s">
        <v>515</v>
      </c>
    </row>
    <row r="148" spans="1:4" ht="27">
      <c r="A148" t="s">
        <v>839</v>
      </c>
      <c r="B148">
        <v>436</v>
      </c>
      <c r="D148" s="141" t="s">
        <v>516</v>
      </c>
    </row>
    <row r="149" spans="1:4" ht="27">
      <c r="A149" t="s">
        <v>834</v>
      </c>
      <c r="B149">
        <v>516</v>
      </c>
      <c r="D149" s="141" t="s">
        <v>517</v>
      </c>
    </row>
    <row r="150" spans="1:4" ht="27">
      <c r="A150" t="s">
        <v>31</v>
      </c>
      <c r="B150">
        <v>505</v>
      </c>
      <c r="D150" s="141" t="s">
        <v>518</v>
      </c>
    </row>
    <row r="151" spans="1:4" ht="27">
      <c r="A151" t="s">
        <v>775</v>
      </c>
      <c r="B151">
        <v>200</v>
      </c>
      <c r="D151" s="141" t="s">
        <v>1066</v>
      </c>
    </row>
    <row r="152" spans="1:4" ht="27">
      <c r="A152" t="s">
        <v>172</v>
      </c>
      <c r="B152">
        <v>522</v>
      </c>
      <c r="D152" s="141" t="s">
        <v>1067</v>
      </c>
    </row>
    <row r="153" spans="1:4" ht="27">
      <c r="A153" t="s">
        <v>840</v>
      </c>
      <c r="B153">
        <v>438</v>
      </c>
      <c r="D153" s="141" t="s">
        <v>950</v>
      </c>
    </row>
    <row r="154" spans="1:4" ht="27">
      <c r="A154" t="s">
        <v>841</v>
      </c>
      <c r="B154">
        <v>440</v>
      </c>
      <c r="D154" s="141" t="s">
        <v>951</v>
      </c>
    </row>
    <row r="155" spans="1:4" ht="27">
      <c r="A155" t="s">
        <v>1640</v>
      </c>
      <c r="B155">
        <v>512</v>
      </c>
      <c r="D155" s="141" t="s">
        <v>952</v>
      </c>
    </row>
    <row r="156" spans="1:4" ht="27">
      <c r="A156" t="s">
        <v>175</v>
      </c>
      <c r="B156">
        <v>526</v>
      </c>
      <c r="D156" s="141" t="s">
        <v>953</v>
      </c>
    </row>
    <row r="157" spans="1:4" ht="27">
      <c r="A157" t="s">
        <v>842</v>
      </c>
      <c r="B157">
        <v>446</v>
      </c>
      <c r="D157" s="141" t="s">
        <v>954</v>
      </c>
    </row>
    <row r="158" spans="1:4" ht="13.5">
      <c r="A158" t="s">
        <v>843</v>
      </c>
      <c r="B158">
        <v>448</v>
      </c>
      <c r="D158" s="141" t="s">
        <v>955</v>
      </c>
    </row>
    <row r="159" spans="1:4" ht="27">
      <c r="A159" t="s">
        <v>844</v>
      </c>
      <c r="B159">
        <v>449</v>
      </c>
      <c r="D159" s="141" t="s">
        <v>956</v>
      </c>
    </row>
    <row r="160" spans="1:4" ht="27">
      <c r="A160" t="s">
        <v>1223</v>
      </c>
      <c r="B160">
        <v>28</v>
      </c>
      <c r="D160" s="141" t="s">
        <v>957</v>
      </c>
    </row>
    <row r="161" spans="1:4" ht="27">
      <c r="A161" t="s">
        <v>845</v>
      </c>
      <c r="B161">
        <v>452</v>
      </c>
      <c r="D161" s="141" t="s">
        <v>958</v>
      </c>
    </row>
    <row r="162" spans="1:4" ht="27">
      <c r="A162" t="s">
        <v>730</v>
      </c>
      <c r="B162">
        <v>16</v>
      </c>
      <c r="D162" s="141" t="s">
        <v>959</v>
      </c>
    </row>
    <row r="163" spans="1:4" ht="27">
      <c r="A163" t="s">
        <v>176</v>
      </c>
      <c r="B163">
        <v>527</v>
      </c>
      <c r="D163" s="141" t="s">
        <v>960</v>
      </c>
    </row>
    <row r="164" spans="1:4" ht="27">
      <c r="A164" t="s">
        <v>846</v>
      </c>
      <c r="B164">
        <v>453</v>
      </c>
      <c r="D164" s="141" t="s">
        <v>961</v>
      </c>
    </row>
    <row r="165" spans="1:4" ht="27">
      <c r="A165" t="s">
        <v>20</v>
      </c>
      <c r="B165">
        <v>455</v>
      </c>
      <c r="D165" s="141" t="s">
        <v>962</v>
      </c>
    </row>
    <row r="166" spans="1:4" ht="27">
      <c r="A166" t="s">
        <v>26</v>
      </c>
      <c r="B166">
        <v>476</v>
      </c>
      <c r="D166" s="141" t="s">
        <v>963</v>
      </c>
    </row>
    <row r="167" spans="1:4" ht="27">
      <c r="A167" t="s">
        <v>28</v>
      </c>
      <c r="B167">
        <v>486</v>
      </c>
      <c r="D167" s="141" t="s">
        <v>964</v>
      </c>
    </row>
    <row r="168" spans="1:4" ht="27">
      <c r="A168" t="s">
        <v>21</v>
      </c>
      <c r="B168">
        <v>456</v>
      </c>
      <c r="D168" s="141" t="s">
        <v>965</v>
      </c>
    </row>
    <row r="169" spans="1:4" ht="27">
      <c r="A169" t="s">
        <v>22</v>
      </c>
      <c r="B169">
        <v>458</v>
      </c>
      <c r="D169" s="141" t="s">
        <v>966</v>
      </c>
    </row>
    <row r="170" spans="1:4" ht="27">
      <c r="A170" t="s">
        <v>838</v>
      </c>
      <c r="B170">
        <v>521</v>
      </c>
      <c r="D170" s="141" t="s">
        <v>967</v>
      </c>
    </row>
    <row r="171" spans="1:4" ht="27">
      <c r="A171" t="s">
        <v>837</v>
      </c>
      <c r="B171">
        <v>519</v>
      </c>
      <c r="D171" s="141" t="s">
        <v>968</v>
      </c>
    </row>
    <row r="172" spans="1:4" ht="13.5">
      <c r="A172" t="s">
        <v>177</v>
      </c>
      <c r="B172">
        <v>900</v>
      </c>
      <c r="D172" s="141" t="s">
        <v>969</v>
      </c>
    </row>
    <row r="173" spans="1:4" ht="13.5">
      <c r="A173" t="s">
        <v>864</v>
      </c>
      <c r="B173">
        <v>932</v>
      </c>
      <c r="D173" s="141" t="s">
        <v>970</v>
      </c>
    </row>
    <row r="174" spans="1:4" ht="27">
      <c r="A174" t="s">
        <v>868</v>
      </c>
      <c r="B174">
        <v>936</v>
      </c>
      <c r="D174" s="141" t="s">
        <v>971</v>
      </c>
    </row>
    <row r="175" spans="1:4" ht="27">
      <c r="A175" t="s">
        <v>867</v>
      </c>
      <c r="B175">
        <v>935</v>
      </c>
      <c r="D175" s="141" t="s">
        <v>972</v>
      </c>
    </row>
    <row r="176" spans="1:4" ht="27">
      <c r="A176" t="s">
        <v>866</v>
      </c>
      <c r="B176">
        <v>934</v>
      </c>
      <c r="D176" s="141" t="s">
        <v>973</v>
      </c>
    </row>
    <row r="177" spans="1:4" ht="13.5">
      <c r="A177" t="s">
        <v>179</v>
      </c>
      <c r="B177">
        <v>912</v>
      </c>
      <c r="D177" s="141" t="s">
        <v>974</v>
      </c>
    </row>
    <row r="178" spans="1:4" ht="27">
      <c r="A178" t="s">
        <v>180</v>
      </c>
      <c r="B178">
        <v>913</v>
      </c>
      <c r="D178" s="141" t="s">
        <v>975</v>
      </c>
    </row>
    <row r="179" spans="1:4" ht="27">
      <c r="A179" t="s">
        <v>859</v>
      </c>
      <c r="B179">
        <v>914</v>
      </c>
      <c r="D179" s="141" t="s">
        <v>976</v>
      </c>
    </row>
    <row r="180" spans="1:4" ht="27">
      <c r="A180" t="s">
        <v>860</v>
      </c>
      <c r="B180">
        <v>915</v>
      </c>
      <c r="D180" s="141" t="s">
        <v>977</v>
      </c>
    </row>
    <row r="181" spans="1:4" ht="27">
      <c r="A181" t="s">
        <v>862</v>
      </c>
      <c r="B181">
        <v>920</v>
      </c>
      <c r="D181" s="141" t="s">
        <v>978</v>
      </c>
    </row>
    <row r="182" spans="1:4" ht="27">
      <c r="A182" t="s">
        <v>178</v>
      </c>
      <c r="B182">
        <v>901</v>
      </c>
      <c r="D182" s="141" t="s">
        <v>979</v>
      </c>
    </row>
    <row r="183" spans="1:4" ht="27">
      <c r="A183" t="s">
        <v>863</v>
      </c>
      <c r="B183">
        <v>931</v>
      </c>
      <c r="D183" s="141" t="s">
        <v>980</v>
      </c>
    </row>
    <row r="184" spans="1:4" ht="27">
      <c r="A184" t="s">
        <v>870</v>
      </c>
      <c r="B184">
        <v>938</v>
      </c>
      <c r="D184" s="141" t="s">
        <v>981</v>
      </c>
    </row>
    <row r="185" spans="1:4" ht="27">
      <c r="A185" t="s">
        <v>869</v>
      </c>
      <c r="B185">
        <v>937</v>
      </c>
      <c r="D185" s="141" t="s">
        <v>1258</v>
      </c>
    </row>
    <row r="186" spans="1:4" ht="27">
      <c r="A186" t="s">
        <v>865</v>
      </c>
      <c r="B186">
        <v>933</v>
      </c>
      <c r="D186" s="141" t="s">
        <v>1259</v>
      </c>
    </row>
    <row r="187" spans="1:4" ht="27">
      <c r="A187" t="s">
        <v>861</v>
      </c>
      <c r="B187">
        <v>918</v>
      </c>
      <c r="D187" s="141" t="s">
        <v>1260</v>
      </c>
    </row>
    <row r="188" spans="1:4" ht="27">
      <c r="A188" t="s">
        <v>1035</v>
      </c>
      <c r="B188">
        <v>1</v>
      </c>
      <c r="D188" s="141" t="s">
        <v>1261</v>
      </c>
    </row>
    <row r="189" spans="1:4" ht="13.5">
      <c r="A189" t="s">
        <v>1036</v>
      </c>
      <c r="B189">
        <v>2</v>
      </c>
      <c r="D189" s="141" t="s">
        <v>668</v>
      </c>
    </row>
    <row r="190" ht="27">
      <c r="D190" s="141" t="s">
        <v>669</v>
      </c>
    </row>
    <row r="191" ht="27">
      <c r="D191" s="141" t="s">
        <v>670</v>
      </c>
    </row>
    <row r="192" ht="27">
      <c r="D192" s="141" t="s">
        <v>671</v>
      </c>
    </row>
    <row r="193" ht="27">
      <c r="D193" s="141" t="s">
        <v>672</v>
      </c>
    </row>
    <row r="194" ht="13.5">
      <c r="D194" s="141" t="s">
        <v>673</v>
      </c>
    </row>
    <row r="195" ht="27">
      <c r="D195" s="141" t="s">
        <v>674</v>
      </c>
    </row>
    <row r="196" ht="27">
      <c r="D196" s="141" t="s">
        <v>675</v>
      </c>
    </row>
    <row r="197" ht="27">
      <c r="D197" s="141" t="s">
        <v>676</v>
      </c>
    </row>
    <row r="198" ht="27">
      <c r="D198" s="141" t="s">
        <v>677</v>
      </c>
    </row>
    <row r="199" ht="13.5">
      <c r="D199" s="141" t="s">
        <v>678</v>
      </c>
    </row>
    <row r="200" ht="27">
      <c r="D200" s="141" t="s">
        <v>679</v>
      </c>
    </row>
    <row r="201" ht="27">
      <c r="D201" s="141" t="s">
        <v>680</v>
      </c>
    </row>
    <row r="202" ht="27">
      <c r="D202" s="141" t="s">
        <v>681</v>
      </c>
    </row>
    <row r="203" ht="27">
      <c r="D203" s="141" t="s">
        <v>682</v>
      </c>
    </row>
    <row r="204" ht="27">
      <c r="D204" s="141" t="s">
        <v>1236</v>
      </c>
    </row>
    <row r="205" ht="27">
      <c r="D205" s="141" t="s">
        <v>1237</v>
      </c>
    </row>
    <row r="206" ht="27">
      <c r="D206" s="141" t="s">
        <v>1238</v>
      </c>
    </row>
    <row r="207" ht="27">
      <c r="D207" s="141" t="s">
        <v>573</v>
      </c>
    </row>
    <row r="208" ht="27">
      <c r="D208" s="141" t="s">
        <v>574</v>
      </c>
    </row>
    <row r="209" ht="27">
      <c r="D209" s="141" t="s">
        <v>575</v>
      </c>
    </row>
    <row r="210" ht="27">
      <c r="D210" s="141" t="s">
        <v>576</v>
      </c>
    </row>
    <row r="211" ht="27">
      <c r="D211" s="141" t="s">
        <v>577</v>
      </c>
    </row>
    <row r="212" ht="27">
      <c r="D212" s="141" t="s">
        <v>578</v>
      </c>
    </row>
    <row r="213" ht="27">
      <c r="D213" s="141" t="s">
        <v>579</v>
      </c>
    </row>
    <row r="214" ht="27">
      <c r="D214" s="141" t="s">
        <v>580</v>
      </c>
    </row>
    <row r="215" ht="27">
      <c r="D215" s="141" t="s">
        <v>1427</v>
      </c>
    </row>
    <row r="216" ht="27">
      <c r="D216" s="141" t="s">
        <v>1428</v>
      </c>
    </row>
    <row r="217" ht="27">
      <c r="D217" s="141" t="s">
        <v>1429</v>
      </c>
    </row>
    <row r="218" ht="27">
      <c r="D218" s="141" t="s">
        <v>1430</v>
      </c>
    </row>
    <row r="219" ht="27">
      <c r="D219" s="141" t="s">
        <v>103</v>
      </c>
    </row>
    <row r="220" ht="27">
      <c r="D220" s="141" t="s">
        <v>104</v>
      </c>
    </row>
    <row r="221" ht="27">
      <c r="D221" s="141" t="s">
        <v>105</v>
      </c>
    </row>
    <row r="222" ht="27">
      <c r="D222" s="141" t="s">
        <v>106</v>
      </c>
    </row>
    <row r="223" ht="27">
      <c r="D223" s="141" t="s">
        <v>107</v>
      </c>
    </row>
    <row r="224" ht="27">
      <c r="D224" s="141" t="s">
        <v>108</v>
      </c>
    </row>
    <row r="225" ht="27">
      <c r="D225" s="141" t="s">
        <v>109</v>
      </c>
    </row>
    <row r="226" ht="27">
      <c r="D226" s="141" t="s">
        <v>110</v>
      </c>
    </row>
    <row r="227" ht="27">
      <c r="D227" s="141" t="s">
        <v>1544</v>
      </c>
    </row>
    <row r="228" ht="27">
      <c r="D228" s="141" t="s">
        <v>1545</v>
      </c>
    </row>
    <row r="229" ht="27">
      <c r="D229" s="141" t="s">
        <v>1546</v>
      </c>
    </row>
    <row r="230" ht="27">
      <c r="D230" s="141" t="s">
        <v>1547</v>
      </c>
    </row>
    <row r="231" ht="27">
      <c r="D231" s="141" t="s">
        <v>1548</v>
      </c>
    </row>
    <row r="232" ht="27">
      <c r="D232" s="141" t="s">
        <v>1531</v>
      </c>
    </row>
    <row r="233" ht="27">
      <c r="D233" s="141" t="s">
        <v>1532</v>
      </c>
    </row>
    <row r="234" ht="27">
      <c r="D234" s="141" t="s">
        <v>1533</v>
      </c>
    </row>
    <row r="235" ht="27">
      <c r="D235" s="141" t="s">
        <v>1534</v>
      </c>
    </row>
    <row r="236" ht="27">
      <c r="D236" s="141" t="s">
        <v>1535</v>
      </c>
    </row>
    <row r="237" ht="13.5">
      <c r="D237" s="141" t="s">
        <v>1536</v>
      </c>
    </row>
    <row r="238" ht="13.5">
      <c r="D238" s="141" t="s">
        <v>1537</v>
      </c>
    </row>
    <row r="239" ht="27">
      <c r="D239" s="141" t="s">
        <v>1588</v>
      </c>
    </row>
    <row r="240" ht="13.5">
      <c r="D240" s="141" t="s">
        <v>1589</v>
      </c>
    </row>
    <row r="241" ht="27">
      <c r="D241" s="141" t="s">
        <v>1590</v>
      </c>
    </row>
    <row r="242" ht="27">
      <c r="D242" s="141" t="s">
        <v>1591</v>
      </c>
    </row>
    <row r="243" ht="27">
      <c r="D243" s="141" t="s">
        <v>1592</v>
      </c>
    </row>
    <row r="244" ht="13.5">
      <c r="D244" s="141" t="s">
        <v>1159</v>
      </c>
    </row>
    <row r="245" ht="27">
      <c r="D245" s="141" t="s">
        <v>1160</v>
      </c>
    </row>
    <row r="246" ht="27">
      <c r="D246" s="141" t="s">
        <v>1161</v>
      </c>
    </row>
    <row r="247" ht="27">
      <c r="D247" s="141" t="s">
        <v>1162</v>
      </c>
    </row>
    <row r="248" ht="27">
      <c r="D248" s="141" t="s">
        <v>1163</v>
      </c>
    </row>
    <row r="249" ht="27">
      <c r="D249" s="141" t="s">
        <v>502</v>
      </c>
    </row>
    <row r="250" ht="27">
      <c r="D250" s="141" t="s">
        <v>503</v>
      </c>
    </row>
    <row r="251" ht="13.5">
      <c r="D251" s="141" t="s">
        <v>181</v>
      </c>
    </row>
    <row r="252" ht="27">
      <c r="D252" s="141" t="s">
        <v>182</v>
      </c>
    </row>
    <row r="253" ht="27">
      <c r="D253" s="141" t="s">
        <v>183</v>
      </c>
    </row>
    <row r="254" ht="13.5">
      <c r="D254" s="141" t="s">
        <v>184</v>
      </c>
    </row>
    <row r="255" ht="27">
      <c r="D255" s="141" t="s">
        <v>185</v>
      </c>
    </row>
    <row r="256" ht="27">
      <c r="D256" s="141" t="s">
        <v>186</v>
      </c>
    </row>
    <row r="257" ht="13.5">
      <c r="D257" s="141" t="s">
        <v>187</v>
      </c>
    </row>
    <row r="258" ht="27">
      <c r="D258" s="141" t="s">
        <v>188</v>
      </c>
    </row>
    <row r="259" ht="27">
      <c r="D259" s="141" t="s">
        <v>189</v>
      </c>
    </row>
    <row r="260" ht="27">
      <c r="D260" s="141" t="s">
        <v>190</v>
      </c>
    </row>
    <row r="261" ht="13.5">
      <c r="D261" s="141" t="s">
        <v>191</v>
      </c>
    </row>
    <row r="262" ht="27">
      <c r="D262" s="141" t="s">
        <v>192</v>
      </c>
    </row>
    <row r="263" ht="27">
      <c r="D263" s="141" t="s">
        <v>193</v>
      </c>
    </row>
    <row r="264" ht="27">
      <c r="D264" s="141" t="s">
        <v>194</v>
      </c>
    </row>
    <row r="265" ht="27">
      <c r="D265" s="141" t="s">
        <v>195</v>
      </c>
    </row>
    <row r="266" ht="13.5">
      <c r="D266" s="141" t="s">
        <v>196</v>
      </c>
    </row>
    <row r="267" ht="27">
      <c r="D267" s="141" t="s">
        <v>1279</v>
      </c>
    </row>
    <row r="268" ht="27">
      <c r="D268" s="141" t="s">
        <v>1280</v>
      </c>
    </row>
    <row r="269" ht="13.5">
      <c r="D269" s="141" t="s">
        <v>1324</v>
      </c>
    </row>
    <row r="270" ht="13.5">
      <c r="D270" s="141" t="s">
        <v>1325</v>
      </c>
    </row>
    <row r="271" ht="27">
      <c r="D271" s="141" t="s">
        <v>1326</v>
      </c>
    </row>
    <row r="272" ht="27">
      <c r="D272" s="141" t="s">
        <v>1327</v>
      </c>
    </row>
    <row r="273" ht="27">
      <c r="D273" s="141" t="s">
        <v>1328</v>
      </c>
    </row>
    <row r="274" ht="27">
      <c r="D274" s="141" t="s">
        <v>1329</v>
      </c>
    </row>
    <row r="275" ht="27">
      <c r="D275" s="141" t="s">
        <v>1330</v>
      </c>
    </row>
    <row r="276" ht="27">
      <c r="D276" s="141" t="s">
        <v>1331</v>
      </c>
    </row>
    <row r="277" ht="13.5">
      <c r="D277" s="141" t="s">
        <v>1332</v>
      </c>
    </row>
    <row r="278" ht="27">
      <c r="D278" s="141" t="s">
        <v>1333</v>
      </c>
    </row>
    <row r="279" ht="13.5">
      <c r="D279" s="141" t="s">
        <v>1334</v>
      </c>
    </row>
    <row r="280" ht="27">
      <c r="D280" s="141" t="s">
        <v>645</v>
      </c>
    </row>
    <row r="281" ht="27">
      <c r="D281" s="141" t="s">
        <v>646</v>
      </c>
    </row>
    <row r="282" ht="27">
      <c r="D282" s="141" t="s">
        <v>647</v>
      </c>
    </row>
    <row r="283" ht="27">
      <c r="D283" s="141" t="s">
        <v>7</v>
      </c>
    </row>
    <row r="284" ht="27">
      <c r="D284" s="141" t="s">
        <v>8</v>
      </c>
    </row>
    <row r="285" ht="27">
      <c r="D285" s="141" t="s">
        <v>9</v>
      </c>
    </row>
    <row r="286" ht="27">
      <c r="D286" s="141" t="s">
        <v>10</v>
      </c>
    </row>
    <row r="287" ht="27">
      <c r="D287" s="141" t="s">
        <v>11</v>
      </c>
    </row>
    <row r="288" ht="27">
      <c r="D288" s="141" t="s">
        <v>12</v>
      </c>
    </row>
    <row r="289" ht="13.5">
      <c r="D289" s="141" t="s">
        <v>13</v>
      </c>
    </row>
    <row r="290" ht="27">
      <c r="D290" s="141" t="s">
        <v>14</v>
      </c>
    </row>
    <row r="291" ht="27">
      <c r="D291" s="141" t="s">
        <v>15</v>
      </c>
    </row>
    <row r="292" ht="13.5">
      <c r="D292" s="141" t="s">
        <v>701</v>
      </c>
    </row>
    <row r="293" ht="13.5">
      <c r="D293" s="141" t="s">
        <v>702</v>
      </c>
    </row>
    <row r="294" ht="27">
      <c r="D294" s="141" t="s">
        <v>703</v>
      </c>
    </row>
    <row r="295" ht="27">
      <c r="D295" s="141" t="s">
        <v>1037</v>
      </c>
    </row>
    <row r="296" ht="27">
      <c r="D296" s="141" t="s">
        <v>1201</v>
      </c>
    </row>
    <row r="297" ht="27">
      <c r="D297" s="141" t="s">
        <v>1202</v>
      </c>
    </row>
    <row r="298" ht="27">
      <c r="D298" s="141" t="s">
        <v>1490</v>
      </c>
    </row>
    <row r="299" ht="13.5">
      <c r="D299" s="141" t="s">
        <v>1491</v>
      </c>
    </row>
    <row r="300" ht="13.5">
      <c r="D300" s="141" t="s">
        <v>1492</v>
      </c>
    </row>
    <row r="301" ht="13.5">
      <c r="D301" s="141" t="s">
        <v>1493</v>
      </c>
    </row>
    <row r="302" ht="27">
      <c r="D302" s="141" t="s">
        <v>1494</v>
      </c>
    </row>
    <row r="303" ht="13.5">
      <c r="D303" s="141" t="s">
        <v>1495</v>
      </c>
    </row>
    <row r="304" ht="13.5">
      <c r="D304" s="141" t="s">
        <v>1496</v>
      </c>
    </row>
    <row r="305" ht="27">
      <c r="D305" s="141" t="s">
        <v>1497</v>
      </c>
    </row>
    <row r="306" ht="27">
      <c r="D306" s="141" t="s">
        <v>1498</v>
      </c>
    </row>
    <row r="307" ht="27">
      <c r="D307" s="141" t="s">
        <v>1499</v>
      </c>
    </row>
    <row r="308" ht="27">
      <c r="D308" s="141" t="s">
        <v>1500</v>
      </c>
    </row>
    <row r="309" ht="27">
      <c r="D309" s="141" t="s">
        <v>1501</v>
      </c>
    </row>
    <row r="310" ht="27">
      <c r="D310" s="141" t="s">
        <v>1502</v>
      </c>
    </row>
    <row r="311" ht="27">
      <c r="D311" s="141" t="s">
        <v>1503</v>
      </c>
    </row>
    <row r="312" ht="27">
      <c r="D312" s="141" t="s">
        <v>1504</v>
      </c>
    </row>
    <row r="313" ht="27">
      <c r="D313" s="141" t="s">
        <v>1505</v>
      </c>
    </row>
    <row r="314" ht="27">
      <c r="D314" s="141" t="s">
        <v>1506</v>
      </c>
    </row>
    <row r="315" ht="27">
      <c r="D315" s="141" t="s">
        <v>1507</v>
      </c>
    </row>
    <row r="316" ht="27">
      <c r="D316" s="141" t="s">
        <v>1508</v>
      </c>
    </row>
    <row r="317" ht="27">
      <c r="D317" s="141" t="s">
        <v>1509</v>
      </c>
    </row>
    <row r="318" ht="27">
      <c r="D318" s="141" t="s">
        <v>1510</v>
      </c>
    </row>
    <row r="319" ht="13.5">
      <c r="D319" s="141" t="s">
        <v>1511</v>
      </c>
    </row>
    <row r="320" ht="27">
      <c r="D320" s="141" t="s">
        <v>1512</v>
      </c>
    </row>
    <row r="321" ht="27">
      <c r="D321" s="141" t="s">
        <v>1633</v>
      </c>
    </row>
    <row r="322" ht="27">
      <c r="D322" s="141" t="s">
        <v>1634</v>
      </c>
    </row>
    <row r="323" ht="27">
      <c r="D323" s="141" t="s">
        <v>1635</v>
      </c>
    </row>
    <row r="324" ht="27">
      <c r="D324" s="141" t="s">
        <v>1636</v>
      </c>
    </row>
    <row r="325" ht="27">
      <c r="D325" s="141" t="s">
        <v>1637</v>
      </c>
    </row>
    <row r="326" ht="13.5">
      <c r="D326" s="141" t="s">
        <v>1638</v>
      </c>
    </row>
    <row r="327" ht="27">
      <c r="D327" s="141" t="s">
        <v>1639</v>
      </c>
    </row>
    <row r="328" ht="27">
      <c r="D328" s="141" t="s">
        <v>1313</v>
      </c>
    </row>
    <row r="329" ht="27">
      <c r="D329" s="141" t="s">
        <v>476</v>
      </c>
    </row>
    <row r="330" ht="13.5">
      <c r="D330" s="141" t="s">
        <v>477</v>
      </c>
    </row>
    <row r="331" ht="13.5">
      <c r="D331" s="141" t="s">
        <v>478</v>
      </c>
    </row>
    <row r="332" ht="27">
      <c r="D332" s="141" t="s">
        <v>479</v>
      </c>
    </row>
    <row r="333" ht="27">
      <c r="D333" s="141" t="s">
        <v>480</v>
      </c>
    </row>
    <row r="334" ht="27">
      <c r="D334" s="141" t="s">
        <v>481</v>
      </c>
    </row>
    <row r="335" ht="27">
      <c r="D335" s="141" t="s">
        <v>482</v>
      </c>
    </row>
    <row r="336" ht="27">
      <c r="D336" s="141" t="s">
        <v>483</v>
      </c>
    </row>
    <row r="337" ht="27">
      <c r="D337" s="141" t="s">
        <v>782</v>
      </c>
    </row>
    <row r="338" ht="27">
      <c r="D338" s="141" t="s">
        <v>329</v>
      </c>
    </row>
    <row r="339" ht="27">
      <c r="D339" s="141" t="s">
        <v>330</v>
      </c>
    </row>
    <row r="340" ht="13.5">
      <c r="D340" s="141" t="s">
        <v>331</v>
      </c>
    </row>
    <row r="341" ht="27">
      <c r="D341" s="141" t="s">
        <v>332</v>
      </c>
    </row>
    <row r="342" ht="27">
      <c r="D342" s="141" t="s">
        <v>333</v>
      </c>
    </row>
    <row r="343" ht="27">
      <c r="D343" s="141" t="s">
        <v>334</v>
      </c>
    </row>
    <row r="344" ht="13.5">
      <c r="D344" s="141" t="s">
        <v>335</v>
      </c>
    </row>
    <row r="345" ht="27">
      <c r="D345" s="141" t="s">
        <v>336</v>
      </c>
    </row>
    <row r="346" ht="27">
      <c r="D346" s="141" t="s">
        <v>337</v>
      </c>
    </row>
    <row r="347" ht="27">
      <c r="D347" s="141" t="s">
        <v>338</v>
      </c>
    </row>
    <row r="348" ht="27">
      <c r="D348" s="141" t="s">
        <v>339</v>
      </c>
    </row>
    <row r="349" ht="27">
      <c r="D349" s="141" t="s">
        <v>340</v>
      </c>
    </row>
    <row r="350" ht="27">
      <c r="D350" s="141" t="s">
        <v>341</v>
      </c>
    </row>
    <row r="351" ht="27">
      <c r="D351" s="141" t="s">
        <v>342</v>
      </c>
    </row>
    <row r="352" ht="13.5">
      <c r="D352" s="141" t="s">
        <v>343</v>
      </c>
    </row>
    <row r="353" ht="13.5">
      <c r="D353" s="141" t="s">
        <v>344</v>
      </c>
    </row>
    <row r="354" ht="13.5">
      <c r="D354" s="141" t="s">
        <v>345</v>
      </c>
    </row>
    <row r="355" ht="27">
      <c r="D355" s="141" t="s">
        <v>65</v>
      </c>
    </row>
    <row r="356" ht="27">
      <c r="D356" s="141" t="s">
        <v>66</v>
      </c>
    </row>
    <row r="357" ht="13.5">
      <c r="D357" s="141" t="s">
        <v>146</v>
      </c>
    </row>
    <row r="358" ht="27">
      <c r="D358" s="141" t="s">
        <v>147</v>
      </c>
    </row>
    <row r="359" ht="27">
      <c r="D359" s="141" t="s">
        <v>148</v>
      </c>
    </row>
    <row r="360" ht="27">
      <c r="D360" s="141" t="s">
        <v>149</v>
      </c>
    </row>
    <row r="361" ht="13.5">
      <c r="D361" s="141" t="s">
        <v>150</v>
      </c>
    </row>
    <row r="362" ht="27">
      <c r="D362" s="141" t="s">
        <v>463</v>
      </c>
    </row>
    <row r="363" ht="13.5">
      <c r="D363" s="141" t="s">
        <v>464</v>
      </c>
    </row>
    <row r="364" ht="27">
      <c r="D364" s="141" t="s">
        <v>465</v>
      </c>
    </row>
    <row r="365" ht="27">
      <c r="D365" s="141" t="s">
        <v>466</v>
      </c>
    </row>
    <row r="366" ht="27">
      <c r="D366" s="141" t="s">
        <v>467</v>
      </c>
    </row>
    <row r="367" ht="27">
      <c r="D367" s="141" t="s">
        <v>468</v>
      </c>
    </row>
    <row r="368" ht="27">
      <c r="D368" s="141" t="s">
        <v>469</v>
      </c>
    </row>
    <row r="369" ht="13.5">
      <c r="D369" s="141" t="s">
        <v>470</v>
      </c>
    </row>
    <row r="370" ht="27">
      <c r="D370" s="141" t="s">
        <v>471</v>
      </c>
    </row>
    <row r="371" ht="27">
      <c r="D371" s="141" t="s">
        <v>613</v>
      </c>
    </row>
    <row r="372" ht="27">
      <c r="D372" s="141" t="s">
        <v>614</v>
      </c>
    </row>
    <row r="373" ht="27">
      <c r="D373" s="141" t="s">
        <v>615</v>
      </c>
    </row>
    <row r="374" ht="27">
      <c r="D374" s="141" t="s">
        <v>616</v>
      </c>
    </row>
    <row r="375" ht="27">
      <c r="D375" s="141" t="s">
        <v>38</v>
      </c>
    </row>
    <row r="376" ht="27">
      <c r="D376" s="141" t="s">
        <v>1435</v>
      </c>
    </row>
    <row r="377" ht="27">
      <c r="D377" s="141" t="s">
        <v>1436</v>
      </c>
    </row>
    <row r="378" ht="27">
      <c r="D378" s="141" t="s">
        <v>1437</v>
      </c>
    </row>
    <row r="379" ht="27">
      <c r="D379" s="141" t="s">
        <v>511</v>
      </c>
    </row>
    <row r="380" ht="27">
      <c r="D380" s="141" t="s">
        <v>1595</v>
      </c>
    </row>
    <row r="381" ht="27">
      <c r="D381" s="141" t="s">
        <v>1596</v>
      </c>
    </row>
    <row r="382" ht="13.5">
      <c r="D382" s="141" t="s">
        <v>1597</v>
      </c>
    </row>
    <row r="383" ht="27">
      <c r="D383" s="141" t="s">
        <v>1598</v>
      </c>
    </row>
    <row r="384" ht="27">
      <c r="D384" s="141" t="s">
        <v>1599</v>
      </c>
    </row>
    <row r="385" ht="27">
      <c r="D385" s="141" t="s">
        <v>1600</v>
      </c>
    </row>
    <row r="386" ht="13.5">
      <c r="D386" s="141" t="s">
        <v>1601</v>
      </c>
    </row>
    <row r="387" ht="27">
      <c r="D387" s="141" t="s">
        <v>1602</v>
      </c>
    </row>
    <row r="388" ht="27">
      <c r="D388" s="141" t="s">
        <v>1603</v>
      </c>
    </row>
    <row r="389" ht="13.5">
      <c r="D389" s="141" t="s">
        <v>1604</v>
      </c>
    </row>
    <row r="390" ht="27">
      <c r="D390" s="141" t="s">
        <v>1605</v>
      </c>
    </row>
    <row r="391" ht="13.5">
      <c r="D391" s="141" t="s">
        <v>1606</v>
      </c>
    </row>
    <row r="392" ht="27">
      <c r="D392" s="141" t="s">
        <v>1607</v>
      </c>
    </row>
    <row r="393" ht="13.5">
      <c r="D393" s="141" t="s">
        <v>1608</v>
      </c>
    </row>
    <row r="394" ht="13.5">
      <c r="D394" s="141" t="s">
        <v>1609</v>
      </c>
    </row>
    <row r="395" ht="13.5">
      <c r="D395" s="141" t="s">
        <v>1610</v>
      </c>
    </row>
    <row r="396" ht="27">
      <c r="D396" s="141" t="s">
        <v>1068</v>
      </c>
    </row>
    <row r="397" ht="27">
      <c r="D397" s="141" t="s">
        <v>1069</v>
      </c>
    </row>
    <row r="398" ht="27">
      <c r="D398" s="141" t="s">
        <v>1070</v>
      </c>
    </row>
    <row r="399" ht="27">
      <c r="D399" s="141" t="s">
        <v>1071</v>
      </c>
    </row>
    <row r="400" ht="27">
      <c r="D400" s="141" t="s">
        <v>1072</v>
      </c>
    </row>
    <row r="401" ht="27">
      <c r="D401" s="141" t="s">
        <v>1073</v>
      </c>
    </row>
    <row r="402" ht="27">
      <c r="D402" s="141" t="s">
        <v>1074</v>
      </c>
    </row>
    <row r="403" ht="27">
      <c r="D403" s="141" t="s">
        <v>1075</v>
      </c>
    </row>
    <row r="404" ht="27">
      <c r="D404" s="141" t="s">
        <v>1076</v>
      </c>
    </row>
    <row r="405" ht="27">
      <c r="D405" s="141" t="s">
        <v>1077</v>
      </c>
    </row>
    <row r="406" ht="27">
      <c r="D406" s="141" t="s">
        <v>1078</v>
      </c>
    </row>
    <row r="407" ht="13.5">
      <c r="D407" s="141" t="s">
        <v>1079</v>
      </c>
    </row>
    <row r="408" ht="13.5">
      <c r="D408" s="141" t="s">
        <v>1080</v>
      </c>
    </row>
    <row r="409" ht="27">
      <c r="D409" s="141" t="s">
        <v>1081</v>
      </c>
    </row>
    <row r="410" ht="13.5">
      <c r="D410" s="141" t="s">
        <v>1082</v>
      </c>
    </row>
    <row r="411" ht="27">
      <c r="D411" s="141" t="s">
        <v>1083</v>
      </c>
    </row>
    <row r="412" ht="13.5">
      <c r="D412" s="141" t="s">
        <v>1084</v>
      </c>
    </row>
    <row r="413" ht="27">
      <c r="D413" s="141" t="s">
        <v>1085</v>
      </c>
    </row>
    <row r="414" ht="13.5">
      <c r="D414" s="141" t="s">
        <v>1086</v>
      </c>
    </row>
    <row r="415" ht="27">
      <c r="D415" s="141" t="s">
        <v>1382</v>
      </c>
    </row>
    <row r="416" ht="13.5">
      <c r="D416" s="141" t="s">
        <v>1383</v>
      </c>
    </row>
    <row r="417" ht="27">
      <c r="D417" s="141" t="s">
        <v>1384</v>
      </c>
    </row>
    <row r="418" ht="27">
      <c r="D418" s="141" t="s">
        <v>1385</v>
      </c>
    </row>
    <row r="419" ht="27">
      <c r="D419" s="141" t="s">
        <v>1386</v>
      </c>
    </row>
    <row r="420" ht="27">
      <c r="D420" s="141" t="s">
        <v>1387</v>
      </c>
    </row>
    <row r="421" ht="27">
      <c r="D421" s="141" t="s">
        <v>795</v>
      </c>
    </row>
    <row r="422" ht="13.5">
      <c r="D422" s="141" t="s">
        <v>796</v>
      </c>
    </row>
    <row r="423" ht="27">
      <c r="D423" s="141" t="s">
        <v>797</v>
      </c>
    </row>
    <row r="424" ht="27">
      <c r="D424" s="141" t="s">
        <v>798</v>
      </c>
    </row>
    <row r="425" ht="27">
      <c r="D425" s="141" t="s">
        <v>799</v>
      </c>
    </row>
    <row r="426" ht="27">
      <c r="D426" s="141" t="s">
        <v>800</v>
      </c>
    </row>
    <row r="427" ht="27">
      <c r="D427" s="141" t="s">
        <v>801</v>
      </c>
    </row>
    <row r="428" ht="13.5">
      <c r="D428" s="141" t="s">
        <v>802</v>
      </c>
    </row>
    <row r="429" ht="27">
      <c r="D429" s="141" t="s">
        <v>803</v>
      </c>
    </row>
    <row r="430" ht="27">
      <c r="D430" s="141" t="s">
        <v>804</v>
      </c>
    </row>
    <row r="431" ht="27">
      <c r="D431" s="141" t="s">
        <v>805</v>
      </c>
    </row>
    <row r="432" ht="27">
      <c r="D432" s="141" t="s">
        <v>806</v>
      </c>
    </row>
    <row r="433" ht="27">
      <c r="D433" s="141" t="s">
        <v>807</v>
      </c>
    </row>
    <row r="434" ht="13.5">
      <c r="D434" s="141" t="s">
        <v>808</v>
      </c>
    </row>
    <row r="435" ht="27">
      <c r="D435" s="141" t="s">
        <v>809</v>
      </c>
    </row>
    <row r="436" ht="27">
      <c r="D436" s="141" t="s">
        <v>810</v>
      </c>
    </row>
    <row r="437" ht="27">
      <c r="D437" s="141" t="s">
        <v>811</v>
      </c>
    </row>
    <row r="438" ht="13.5">
      <c r="D438" s="141" t="s">
        <v>812</v>
      </c>
    </row>
    <row r="439" ht="13.5">
      <c r="D439" s="141" t="s">
        <v>813</v>
      </c>
    </row>
    <row r="440" ht="13.5">
      <c r="D440" s="141" t="s">
        <v>814</v>
      </c>
    </row>
    <row r="441" ht="13.5">
      <c r="D441" s="141" t="s">
        <v>815</v>
      </c>
    </row>
    <row r="442" ht="27">
      <c r="D442" s="141" t="s">
        <v>816</v>
      </c>
    </row>
    <row r="443" ht="13.5">
      <c r="D443" s="141" t="s">
        <v>817</v>
      </c>
    </row>
    <row r="444" ht="27">
      <c r="D444" s="141" t="s">
        <v>818</v>
      </c>
    </row>
    <row r="445" ht="13.5">
      <c r="D445" s="141" t="s">
        <v>1408</v>
      </c>
    </row>
    <row r="446" ht="13.5">
      <c r="D446" s="141" t="s">
        <v>561</v>
      </c>
    </row>
    <row r="447" ht="27">
      <c r="D447" s="141" t="s">
        <v>562</v>
      </c>
    </row>
    <row r="448" ht="27">
      <c r="D448" s="141" t="s">
        <v>563</v>
      </c>
    </row>
    <row r="449" ht="27">
      <c r="D449" s="141" t="s">
        <v>564</v>
      </c>
    </row>
    <row r="450" ht="27">
      <c r="D450" s="141" t="s">
        <v>565</v>
      </c>
    </row>
    <row r="451" ht="27">
      <c r="D451" s="141" t="s">
        <v>566</v>
      </c>
    </row>
    <row r="452" ht="13.5">
      <c r="D452" s="141" t="s">
        <v>567</v>
      </c>
    </row>
    <row r="453" ht="27">
      <c r="D453" s="141" t="s">
        <v>568</v>
      </c>
    </row>
    <row r="454" ht="27">
      <c r="D454" s="141" t="s">
        <v>569</v>
      </c>
    </row>
    <row r="455" ht="13.5">
      <c r="D455" s="141" t="s">
        <v>570</v>
      </c>
    </row>
    <row r="456" ht="27">
      <c r="D456" s="141" t="s">
        <v>571</v>
      </c>
    </row>
    <row r="457" ht="27">
      <c r="D457" s="141" t="s">
        <v>572</v>
      </c>
    </row>
    <row r="458" ht="27">
      <c r="D458" s="141" t="s">
        <v>1657</v>
      </c>
    </row>
    <row r="459" ht="13.5">
      <c r="D459" s="141" t="s">
        <v>1658</v>
      </c>
    </row>
    <row r="460" ht="27">
      <c r="D460" s="141" t="s">
        <v>1659</v>
      </c>
    </row>
    <row r="461" ht="27">
      <c r="D461" s="141" t="s">
        <v>1660</v>
      </c>
    </row>
    <row r="462" ht="13.5">
      <c r="D462" s="141" t="s">
        <v>773</v>
      </c>
    </row>
    <row r="463" ht="27">
      <c r="D463" s="141" t="s">
        <v>623</v>
      </c>
    </row>
    <row r="464" ht="27">
      <c r="D464" s="141" t="s">
        <v>624</v>
      </c>
    </row>
    <row r="465" ht="13.5">
      <c r="D465" s="141" t="s">
        <v>625</v>
      </c>
    </row>
    <row r="466" ht="27">
      <c r="D466" s="141" t="s">
        <v>534</v>
      </c>
    </row>
    <row r="467" ht="27">
      <c r="D467" s="141" t="s">
        <v>535</v>
      </c>
    </row>
    <row r="468" ht="13.5">
      <c r="D468" s="141" t="s">
        <v>76</v>
      </c>
    </row>
    <row r="469" ht="13.5">
      <c r="D469" s="141" t="s">
        <v>77</v>
      </c>
    </row>
    <row r="470" ht="13.5">
      <c r="D470" s="141" t="s">
        <v>78</v>
      </c>
    </row>
    <row r="471" ht="13.5">
      <c r="D471" s="141" t="s">
        <v>79</v>
      </c>
    </row>
    <row r="472" ht="27">
      <c r="D472" s="141" t="s">
        <v>80</v>
      </c>
    </row>
    <row r="473" ht="27">
      <c r="D473" s="141" t="s">
        <v>81</v>
      </c>
    </row>
    <row r="474" ht="13.5">
      <c r="D474" s="141" t="s">
        <v>82</v>
      </c>
    </row>
    <row r="475" ht="27">
      <c r="D475" s="141" t="s">
        <v>83</v>
      </c>
    </row>
    <row r="476" ht="13.5">
      <c r="D476" s="141" t="s">
        <v>84</v>
      </c>
    </row>
    <row r="477" ht="27">
      <c r="D477" s="141" t="s">
        <v>85</v>
      </c>
    </row>
    <row r="478" ht="27">
      <c r="D478" s="141" t="s">
        <v>86</v>
      </c>
    </row>
    <row r="479" ht="27">
      <c r="D479" s="141" t="s">
        <v>87</v>
      </c>
    </row>
    <row r="480" ht="27">
      <c r="D480" s="141" t="s">
        <v>1452</v>
      </c>
    </row>
    <row r="481" ht="27">
      <c r="D481" s="141" t="s">
        <v>1453</v>
      </c>
    </row>
    <row r="482" ht="27">
      <c r="D482" s="141" t="s">
        <v>384</v>
      </c>
    </row>
    <row r="483" ht="27">
      <c r="D483" s="141" t="s">
        <v>385</v>
      </c>
    </row>
    <row r="484" ht="27">
      <c r="D484" s="141" t="s">
        <v>386</v>
      </c>
    </row>
    <row r="485" ht="27">
      <c r="D485" s="141" t="s">
        <v>387</v>
      </c>
    </row>
    <row r="486" ht="27">
      <c r="D486" s="141" t="s">
        <v>388</v>
      </c>
    </row>
    <row r="487" ht="27">
      <c r="D487" s="141" t="s">
        <v>389</v>
      </c>
    </row>
    <row r="488" ht="27">
      <c r="D488" s="141" t="s">
        <v>390</v>
      </c>
    </row>
    <row r="489" ht="27">
      <c r="D489" s="141" t="s">
        <v>391</v>
      </c>
    </row>
    <row r="490" ht="27">
      <c r="D490" s="141" t="s">
        <v>392</v>
      </c>
    </row>
    <row r="491" ht="27">
      <c r="D491" s="141" t="s">
        <v>393</v>
      </c>
    </row>
    <row r="492" ht="27">
      <c r="D492" s="141" t="s">
        <v>394</v>
      </c>
    </row>
    <row r="493" ht="27">
      <c r="D493" s="141" t="s">
        <v>395</v>
      </c>
    </row>
    <row r="494" ht="27">
      <c r="D494" s="141" t="s">
        <v>396</v>
      </c>
    </row>
    <row r="495" ht="27">
      <c r="D495" s="141" t="s">
        <v>397</v>
      </c>
    </row>
    <row r="496" ht="27">
      <c r="D496" s="141" t="s">
        <v>398</v>
      </c>
    </row>
    <row r="497" ht="27">
      <c r="D497" s="141" t="s">
        <v>399</v>
      </c>
    </row>
    <row r="498" ht="27">
      <c r="D498" s="141" t="s">
        <v>400</v>
      </c>
    </row>
    <row r="499" ht="27">
      <c r="D499" s="141" t="s">
        <v>453</v>
      </c>
    </row>
    <row r="500" ht="27">
      <c r="D500" s="141" t="s">
        <v>454</v>
      </c>
    </row>
    <row r="501" ht="27">
      <c r="D501" s="141" t="s">
        <v>455</v>
      </c>
    </row>
    <row r="502" ht="13.5">
      <c r="D502" s="141" t="s">
        <v>456</v>
      </c>
    </row>
    <row r="503" ht="27">
      <c r="D503" s="141" t="s">
        <v>457</v>
      </c>
    </row>
    <row r="504" ht="27">
      <c r="D504" s="141" t="s">
        <v>458</v>
      </c>
    </row>
    <row r="505" ht="27">
      <c r="D505" s="141" t="s">
        <v>459</v>
      </c>
    </row>
    <row r="506" ht="13.5">
      <c r="D506" s="141" t="s">
        <v>460</v>
      </c>
    </row>
    <row r="507" ht="27">
      <c r="D507" s="141" t="s">
        <v>461</v>
      </c>
    </row>
    <row r="508" ht="27">
      <c r="D508" s="141" t="s">
        <v>462</v>
      </c>
    </row>
    <row r="509" ht="27">
      <c r="D509" s="141" t="s">
        <v>251</v>
      </c>
    </row>
    <row r="510" ht="27">
      <c r="D510" s="141" t="s">
        <v>252</v>
      </c>
    </row>
    <row r="511" ht="27">
      <c r="D511" s="141" t="s">
        <v>253</v>
      </c>
    </row>
    <row r="512" ht="27">
      <c r="D512" s="141" t="s">
        <v>947</v>
      </c>
    </row>
    <row r="513" ht="27">
      <c r="D513" s="141" t="s">
        <v>948</v>
      </c>
    </row>
    <row r="514" ht="27">
      <c r="D514" s="141" t="s">
        <v>949</v>
      </c>
    </row>
    <row r="515" ht="27">
      <c r="D515" s="141" t="s">
        <v>1206</v>
      </c>
    </row>
    <row r="516" ht="27">
      <c r="D516" s="141" t="s">
        <v>1207</v>
      </c>
    </row>
    <row r="517" ht="27">
      <c r="D517" s="141" t="s">
        <v>1208</v>
      </c>
    </row>
    <row r="518" ht="27">
      <c r="D518" s="141" t="s">
        <v>1209</v>
      </c>
    </row>
    <row r="519" ht="27">
      <c r="D519" s="141" t="s">
        <v>1210</v>
      </c>
    </row>
    <row r="520" ht="27">
      <c r="D520" s="141" t="s">
        <v>1211</v>
      </c>
    </row>
    <row r="521" ht="27">
      <c r="D521" s="141" t="s">
        <v>1212</v>
      </c>
    </row>
    <row r="522" ht="13.5">
      <c r="D522" s="141" t="s">
        <v>1575</v>
      </c>
    </row>
    <row r="523" ht="27">
      <c r="D523" s="141" t="s">
        <v>1576</v>
      </c>
    </row>
    <row r="524" ht="27">
      <c r="D524" s="141" t="s">
        <v>1577</v>
      </c>
    </row>
    <row r="525" ht="27">
      <c r="D525" s="141" t="s">
        <v>1578</v>
      </c>
    </row>
    <row r="526" ht="27">
      <c r="D526" s="141" t="s">
        <v>1579</v>
      </c>
    </row>
    <row r="527" ht="27">
      <c r="D527" s="141" t="s">
        <v>1580</v>
      </c>
    </row>
    <row r="528" ht="13.5">
      <c r="D528" s="141" t="s">
        <v>1581</v>
      </c>
    </row>
    <row r="529" ht="27">
      <c r="D529" s="141" t="s">
        <v>1582</v>
      </c>
    </row>
    <row r="530" ht="27">
      <c r="D530" s="141" t="s">
        <v>1583</v>
      </c>
    </row>
    <row r="531" ht="27">
      <c r="D531" s="141" t="s">
        <v>1584</v>
      </c>
    </row>
    <row r="532" ht="13.5">
      <c r="D532" s="141" t="s">
        <v>1585</v>
      </c>
    </row>
    <row r="533" ht="27">
      <c r="D533" s="141" t="s">
        <v>1586</v>
      </c>
    </row>
    <row r="534" ht="27">
      <c r="D534" s="141" t="s">
        <v>635</v>
      </c>
    </row>
    <row r="535" ht="27">
      <c r="D535" s="141" t="s">
        <v>636</v>
      </c>
    </row>
    <row r="536" ht="27">
      <c r="D536" s="141" t="s">
        <v>637</v>
      </c>
    </row>
    <row r="537" ht="27">
      <c r="D537" s="141" t="s">
        <v>1100</v>
      </c>
    </row>
    <row r="538" ht="27">
      <c r="D538" s="141" t="s">
        <v>1101</v>
      </c>
    </row>
    <row r="539" ht="27">
      <c r="D539" s="141" t="s">
        <v>1102</v>
      </c>
    </row>
    <row r="540" ht="27">
      <c r="D540" s="141" t="s">
        <v>1103</v>
      </c>
    </row>
    <row r="541" ht="13.5">
      <c r="D541" s="141" t="s">
        <v>1104</v>
      </c>
    </row>
    <row r="542" ht="27">
      <c r="D542" s="141" t="s">
        <v>1105</v>
      </c>
    </row>
    <row r="543" ht="27">
      <c r="D543" s="141" t="s">
        <v>1106</v>
      </c>
    </row>
    <row r="544" ht="27">
      <c r="D544" s="141" t="s">
        <v>546</v>
      </c>
    </row>
    <row r="545" ht="27">
      <c r="D545" s="141" t="s">
        <v>547</v>
      </c>
    </row>
    <row r="546" ht="27">
      <c r="D546" s="141" t="s">
        <v>692</v>
      </c>
    </row>
    <row r="547" ht="27">
      <c r="D547" s="141" t="s">
        <v>693</v>
      </c>
    </row>
    <row r="548" ht="27">
      <c r="D548" s="141" t="s">
        <v>694</v>
      </c>
    </row>
    <row r="549" ht="27">
      <c r="D549" s="141" t="s">
        <v>695</v>
      </c>
    </row>
    <row r="550" ht="27">
      <c r="D550" s="141" t="s">
        <v>696</v>
      </c>
    </row>
    <row r="551" ht="13.5">
      <c r="D551" s="141" t="s">
        <v>697</v>
      </c>
    </row>
    <row r="552" ht="27">
      <c r="D552" s="141" t="s">
        <v>698</v>
      </c>
    </row>
    <row r="553" ht="27">
      <c r="D553" s="141" t="s">
        <v>699</v>
      </c>
    </row>
    <row r="554" ht="27">
      <c r="D554" s="141" t="s">
        <v>700</v>
      </c>
    </row>
    <row r="555" ht="27">
      <c r="D555" s="141" t="s">
        <v>555</v>
      </c>
    </row>
    <row r="556" ht="27">
      <c r="D556" s="141" t="s">
        <v>556</v>
      </c>
    </row>
    <row r="557" ht="27">
      <c r="D557" s="141" t="s">
        <v>557</v>
      </c>
    </row>
    <row r="558" ht="27">
      <c r="D558" s="141" t="s">
        <v>558</v>
      </c>
    </row>
    <row r="559" ht="27">
      <c r="D559" s="141" t="s">
        <v>559</v>
      </c>
    </row>
    <row r="560" ht="13.5">
      <c r="D560" s="141" t="s">
        <v>560</v>
      </c>
    </row>
    <row r="561" ht="27">
      <c r="D561" s="141" t="s">
        <v>0</v>
      </c>
    </row>
    <row r="562" ht="13.5">
      <c r="D562" s="141" t="s">
        <v>1</v>
      </c>
    </row>
    <row r="563" ht="27">
      <c r="D563" s="141" t="s">
        <v>1043</v>
      </c>
    </row>
    <row r="564" ht="27">
      <c r="D564" s="141" t="s">
        <v>1044</v>
      </c>
    </row>
    <row r="565" ht="27">
      <c r="D565" s="141" t="s">
        <v>1045</v>
      </c>
    </row>
    <row r="566" ht="27">
      <c r="D566" s="141" t="s">
        <v>1046</v>
      </c>
    </row>
    <row r="567" ht="27">
      <c r="D567" s="141" t="s">
        <v>1047</v>
      </c>
    </row>
    <row r="568" ht="27">
      <c r="D568" s="141" t="s">
        <v>1048</v>
      </c>
    </row>
    <row r="569" ht="13.5">
      <c r="D569" s="141" t="s">
        <v>1049</v>
      </c>
    </row>
    <row r="570" ht="27">
      <c r="D570" s="141" t="s">
        <v>1050</v>
      </c>
    </row>
    <row r="571" ht="27">
      <c r="D571" s="141" t="s">
        <v>1051</v>
      </c>
    </row>
    <row r="572" ht="27">
      <c r="D572" s="141" t="s">
        <v>55</v>
      </c>
    </row>
    <row r="573" ht="27">
      <c r="D573" s="141" t="s">
        <v>56</v>
      </c>
    </row>
    <row r="574" ht="27">
      <c r="D574" s="141" t="s">
        <v>57</v>
      </c>
    </row>
    <row r="575" ht="27">
      <c r="D575" s="141" t="s">
        <v>58</v>
      </c>
    </row>
    <row r="576" ht="27">
      <c r="D576" s="141" t="s">
        <v>59</v>
      </c>
    </row>
    <row r="577" ht="27">
      <c r="D577" s="141" t="s">
        <v>707</v>
      </c>
    </row>
    <row r="578" ht="27">
      <c r="D578" s="141" t="s">
        <v>708</v>
      </c>
    </row>
    <row r="579" ht="13.5">
      <c r="D579" s="141" t="s">
        <v>709</v>
      </c>
    </row>
    <row r="580" ht="27">
      <c r="D580" s="141" t="s">
        <v>710</v>
      </c>
    </row>
    <row r="581" ht="27">
      <c r="D581" s="141" t="s">
        <v>711</v>
      </c>
    </row>
    <row r="582" ht="27">
      <c r="D582" s="141" t="s">
        <v>712</v>
      </c>
    </row>
    <row r="583" ht="27">
      <c r="D583" s="141" t="s">
        <v>713</v>
      </c>
    </row>
    <row r="584" ht="27">
      <c r="D584" s="141" t="s">
        <v>714</v>
      </c>
    </row>
    <row r="585" ht="27">
      <c r="D585" s="141" t="s">
        <v>1665</v>
      </c>
    </row>
    <row r="586" ht="27">
      <c r="D586" s="141" t="s">
        <v>1666</v>
      </c>
    </row>
    <row r="587" ht="27">
      <c r="D587" s="141" t="s">
        <v>1667</v>
      </c>
    </row>
    <row r="588" ht="27">
      <c r="D588" s="141" t="s">
        <v>1668</v>
      </c>
    </row>
    <row r="589" ht="27">
      <c r="D589" s="141" t="s">
        <v>1669</v>
      </c>
    </row>
    <row r="590" ht="27">
      <c r="D590" s="141" t="s">
        <v>1670</v>
      </c>
    </row>
    <row r="591" ht="27">
      <c r="D591" s="141" t="s">
        <v>1671</v>
      </c>
    </row>
    <row r="592" ht="27">
      <c r="D592" s="141" t="s">
        <v>1672</v>
      </c>
    </row>
    <row r="593" ht="27">
      <c r="D593" s="141" t="s">
        <v>1673</v>
      </c>
    </row>
    <row r="594" ht="27">
      <c r="D594" s="141" t="s">
        <v>1674</v>
      </c>
    </row>
    <row r="595" ht="27">
      <c r="D595" s="141" t="s">
        <v>1675</v>
      </c>
    </row>
    <row r="596" ht="27">
      <c r="D596" s="141" t="s">
        <v>1676</v>
      </c>
    </row>
    <row r="597" ht="27">
      <c r="D597" s="141" t="s">
        <v>1677</v>
      </c>
    </row>
    <row r="598" ht="13.5">
      <c r="D598" s="141" t="s">
        <v>1678</v>
      </c>
    </row>
    <row r="599" ht="27">
      <c r="D599" s="141" t="s">
        <v>1679</v>
      </c>
    </row>
    <row r="600" ht="13.5">
      <c r="D600" s="141" t="s">
        <v>1680</v>
      </c>
    </row>
    <row r="601" ht="27">
      <c r="D601" s="141" t="s">
        <v>1681</v>
      </c>
    </row>
    <row r="602" ht="27">
      <c r="D602" s="141" t="s">
        <v>1032</v>
      </c>
    </row>
    <row r="603" ht="27">
      <c r="D603" s="141" t="s">
        <v>1033</v>
      </c>
    </row>
    <row r="604" ht="13.5">
      <c r="D604" s="141" t="s">
        <v>1711</v>
      </c>
    </row>
    <row r="605" ht="13.5">
      <c r="D605" s="141" t="s">
        <v>589</v>
      </c>
    </row>
    <row r="606" ht="27">
      <c r="D606" s="141" t="s">
        <v>590</v>
      </c>
    </row>
    <row r="607" ht="27">
      <c r="D607" s="141" t="s">
        <v>591</v>
      </c>
    </row>
    <row r="608" ht="27">
      <c r="D608" s="141" t="s">
        <v>39</v>
      </c>
    </row>
    <row r="609" ht="27">
      <c r="D609" s="141" t="s">
        <v>40</v>
      </c>
    </row>
    <row r="610" ht="27">
      <c r="D610" s="141" t="s">
        <v>41</v>
      </c>
    </row>
    <row r="611" ht="27">
      <c r="D611" s="141" t="s">
        <v>42</v>
      </c>
    </row>
    <row r="612" ht="27">
      <c r="D612" s="141" t="s">
        <v>43</v>
      </c>
    </row>
    <row r="613" ht="27">
      <c r="D613" s="141" t="s">
        <v>44</v>
      </c>
    </row>
    <row r="614" ht="27">
      <c r="D614" s="141" t="s">
        <v>45</v>
      </c>
    </row>
    <row r="615" ht="13.5">
      <c r="D615" s="141" t="s">
        <v>46</v>
      </c>
    </row>
    <row r="616" ht="27">
      <c r="D616" s="141" t="s">
        <v>47</v>
      </c>
    </row>
    <row r="617" ht="27">
      <c r="D617" s="141" t="s">
        <v>48</v>
      </c>
    </row>
    <row r="618" ht="27">
      <c r="D618" s="141" t="s">
        <v>49</v>
      </c>
    </row>
    <row r="619" ht="27">
      <c r="D619" s="141" t="s">
        <v>50</v>
      </c>
    </row>
    <row r="620" ht="27">
      <c r="D620" s="141" t="s">
        <v>51</v>
      </c>
    </row>
    <row r="621" ht="27">
      <c r="D621" s="141" t="s">
        <v>52</v>
      </c>
    </row>
    <row r="622" ht="27">
      <c r="D622" s="141" t="s">
        <v>1550</v>
      </c>
    </row>
    <row r="623" ht="27">
      <c r="D623" s="141" t="s">
        <v>1557</v>
      </c>
    </row>
    <row r="624" ht="13.5">
      <c r="D624" s="141" t="s">
        <v>1558</v>
      </c>
    </row>
    <row r="625" ht="27">
      <c r="D625" s="141" t="s">
        <v>1002</v>
      </c>
    </row>
    <row r="626" ht="27">
      <c r="D626" s="141" t="s">
        <v>1003</v>
      </c>
    </row>
    <row r="627" ht="27">
      <c r="D627" s="141" t="s">
        <v>1004</v>
      </c>
    </row>
    <row r="628" ht="27">
      <c r="D628" s="141" t="s">
        <v>1005</v>
      </c>
    </row>
    <row r="629" ht="27">
      <c r="D629" s="141" t="s">
        <v>1006</v>
      </c>
    </row>
    <row r="630" ht="13.5">
      <c r="D630" s="141" t="s">
        <v>1007</v>
      </c>
    </row>
    <row r="631" ht="27">
      <c r="D631" s="141" t="s">
        <v>1008</v>
      </c>
    </row>
    <row r="632" ht="27">
      <c r="D632" s="141" t="s">
        <v>1009</v>
      </c>
    </row>
    <row r="633" ht="27">
      <c r="D633" s="141" t="s">
        <v>209</v>
      </c>
    </row>
    <row r="634" ht="27">
      <c r="D634" s="141" t="s">
        <v>210</v>
      </c>
    </row>
    <row r="635" ht="27">
      <c r="D635" s="141" t="s">
        <v>211</v>
      </c>
    </row>
    <row r="636" ht="27">
      <c r="D636" s="141" t="s">
        <v>212</v>
      </c>
    </row>
    <row r="637" ht="27">
      <c r="D637" s="141" t="s">
        <v>213</v>
      </c>
    </row>
    <row r="638" ht="27">
      <c r="D638" s="141" t="s">
        <v>214</v>
      </c>
    </row>
    <row r="639" ht="27">
      <c r="D639" s="141" t="s">
        <v>215</v>
      </c>
    </row>
    <row r="640" ht="27">
      <c r="D640" s="141" t="s">
        <v>216</v>
      </c>
    </row>
    <row r="641" ht="27">
      <c r="D641" s="141" t="s">
        <v>217</v>
      </c>
    </row>
    <row r="642" ht="27">
      <c r="D642" s="141" t="s">
        <v>218</v>
      </c>
    </row>
    <row r="643" ht="27">
      <c r="D643" s="141" t="s">
        <v>219</v>
      </c>
    </row>
    <row r="644" ht="27">
      <c r="D644" s="141" t="s">
        <v>1282</v>
      </c>
    </row>
    <row r="645" ht="27">
      <c r="D645" s="141" t="s">
        <v>1283</v>
      </c>
    </row>
    <row r="646" ht="27">
      <c r="D646" s="141" t="s">
        <v>1284</v>
      </c>
    </row>
    <row r="647" ht="27">
      <c r="D647" s="141" t="s">
        <v>1285</v>
      </c>
    </row>
    <row r="648" ht="13.5">
      <c r="D648" s="141" t="s">
        <v>1286</v>
      </c>
    </row>
    <row r="649" ht="27">
      <c r="D649" s="141" t="s">
        <v>1287</v>
      </c>
    </row>
    <row r="650" ht="13.5">
      <c r="D650" s="141" t="s">
        <v>1288</v>
      </c>
    </row>
    <row r="651" ht="27">
      <c r="D651" s="141" t="s">
        <v>1289</v>
      </c>
    </row>
    <row r="652" ht="27">
      <c r="D652" s="141" t="s">
        <v>1290</v>
      </c>
    </row>
    <row r="653" ht="27">
      <c r="D653" s="141" t="s">
        <v>1291</v>
      </c>
    </row>
    <row r="654" ht="27">
      <c r="D654" s="141" t="s">
        <v>1292</v>
      </c>
    </row>
    <row r="655" ht="27">
      <c r="D655" s="141" t="s">
        <v>1293</v>
      </c>
    </row>
    <row r="656" ht="13.5">
      <c r="D656" s="141" t="s">
        <v>153</v>
      </c>
    </row>
    <row r="657" ht="27">
      <c r="D657" s="141" t="s">
        <v>154</v>
      </c>
    </row>
    <row r="658" ht="27">
      <c r="D658" s="141" t="s">
        <v>155</v>
      </c>
    </row>
    <row r="659" ht="27">
      <c r="D659" s="141" t="s">
        <v>156</v>
      </c>
    </row>
    <row r="660" ht="13.5">
      <c r="D660" s="141" t="s">
        <v>157</v>
      </c>
    </row>
    <row r="661" ht="27">
      <c r="D661" s="141" t="s">
        <v>158</v>
      </c>
    </row>
    <row r="662" ht="27">
      <c r="D662" s="141" t="s">
        <v>159</v>
      </c>
    </row>
    <row r="663" ht="27">
      <c r="D663" s="141" t="s">
        <v>160</v>
      </c>
    </row>
    <row r="664" ht="13.5">
      <c r="D664" s="141" t="s">
        <v>161</v>
      </c>
    </row>
    <row r="665" ht="13.5">
      <c r="D665" s="141" t="s">
        <v>162</v>
      </c>
    </row>
    <row r="666" ht="27">
      <c r="D666" s="141" t="s">
        <v>163</v>
      </c>
    </row>
    <row r="667" ht="27">
      <c r="D667" s="141" t="s">
        <v>164</v>
      </c>
    </row>
    <row r="668" ht="27">
      <c r="D668" s="141" t="s">
        <v>165</v>
      </c>
    </row>
    <row r="669" ht="13.5">
      <c r="D669" s="141" t="s">
        <v>166</v>
      </c>
    </row>
    <row r="670" ht="27">
      <c r="D670" s="141" t="s">
        <v>167</v>
      </c>
    </row>
    <row r="671" ht="27">
      <c r="D671" s="141" t="s">
        <v>168</v>
      </c>
    </row>
    <row r="672" ht="27">
      <c r="D672" s="141" t="s">
        <v>169</v>
      </c>
    </row>
    <row r="673" ht="27">
      <c r="D673" s="141" t="s">
        <v>1038</v>
      </c>
    </row>
    <row r="674" ht="27">
      <c r="D674" s="141" t="s">
        <v>1039</v>
      </c>
    </row>
    <row r="675" ht="27">
      <c r="D675" s="141" t="s">
        <v>1040</v>
      </c>
    </row>
    <row r="676" ht="13.5">
      <c r="D676" s="141" t="s">
        <v>1041</v>
      </c>
    </row>
    <row r="677" ht="13.5">
      <c r="D677" s="141" t="s">
        <v>1042</v>
      </c>
    </row>
    <row r="678" ht="27">
      <c r="D678" s="141" t="s">
        <v>1322</v>
      </c>
    </row>
    <row r="679" ht="13.5">
      <c r="D679" s="141" t="s">
        <v>1323</v>
      </c>
    </row>
    <row r="680" ht="27">
      <c r="D680" s="141" t="s">
        <v>1303</v>
      </c>
    </row>
    <row r="681" ht="13.5">
      <c r="D681" s="141" t="s">
        <v>1304</v>
      </c>
    </row>
    <row r="682" ht="27">
      <c r="D682" s="141" t="s">
        <v>1305</v>
      </c>
    </row>
    <row r="683" ht="27">
      <c r="D683" s="141" t="s">
        <v>1306</v>
      </c>
    </row>
    <row r="684" ht="27">
      <c r="D684" s="141" t="s">
        <v>1307</v>
      </c>
    </row>
    <row r="685" ht="27">
      <c r="D685" s="141" t="s">
        <v>1308</v>
      </c>
    </row>
    <row r="686" ht="27">
      <c r="D686" s="141" t="s">
        <v>1309</v>
      </c>
    </row>
    <row r="687" ht="13.5">
      <c r="D687" s="141" t="s">
        <v>1052</v>
      </c>
    </row>
    <row r="688" ht="13.5">
      <c r="D688" s="141" t="s">
        <v>1053</v>
      </c>
    </row>
    <row r="689" ht="13.5">
      <c r="D689" s="141" t="s">
        <v>1054</v>
      </c>
    </row>
    <row r="690" ht="13.5">
      <c r="D690" s="141" t="s">
        <v>1055</v>
      </c>
    </row>
    <row r="691" ht="27">
      <c r="D691" s="141" t="s">
        <v>1056</v>
      </c>
    </row>
    <row r="692" ht="13.5">
      <c r="D692" s="141" t="s">
        <v>1107</v>
      </c>
    </row>
    <row r="693" ht="27">
      <c r="D693" s="141" t="s">
        <v>1108</v>
      </c>
    </row>
    <row r="694" ht="13.5">
      <c r="D694" s="141" t="s">
        <v>1109</v>
      </c>
    </row>
    <row r="695" ht="13.5">
      <c r="D695" s="141" t="s">
        <v>1110</v>
      </c>
    </row>
    <row r="696" ht="13.5">
      <c r="D696" s="141" t="s">
        <v>847</v>
      </c>
    </row>
    <row r="697" ht="27">
      <c r="D697" s="141" t="s">
        <v>848</v>
      </c>
    </row>
    <row r="698" ht="27">
      <c r="D698" s="141" t="s">
        <v>849</v>
      </c>
    </row>
    <row r="699" ht="27">
      <c r="D699" s="141" t="s">
        <v>850</v>
      </c>
    </row>
    <row r="700" ht="27">
      <c r="D700" s="141" t="s">
        <v>851</v>
      </c>
    </row>
    <row r="701" ht="27">
      <c r="D701" s="141" t="s">
        <v>852</v>
      </c>
    </row>
    <row r="702" ht="27">
      <c r="D702" s="141" t="s">
        <v>853</v>
      </c>
    </row>
    <row r="703" ht="27">
      <c r="D703" s="141" t="s">
        <v>854</v>
      </c>
    </row>
    <row r="704" ht="27">
      <c r="D704" s="141" t="s">
        <v>855</v>
      </c>
    </row>
    <row r="705" ht="27">
      <c r="D705" s="141" t="s">
        <v>856</v>
      </c>
    </row>
    <row r="706" ht="27">
      <c r="D706" s="141" t="s">
        <v>536</v>
      </c>
    </row>
    <row r="707" ht="27">
      <c r="D707" s="141" t="s">
        <v>537</v>
      </c>
    </row>
    <row r="708" ht="27">
      <c r="D708" s="141" t="s">
        <v>538</v>
      </c>
    </row>
    <row r="709" ht="27">
      <c r="D709" s="141" t="s">
        <v>539</v>
      </c>
    </row>
    <row r="710" ht="13.5">
      <c r="D710" s="141" t="s">
        <v>540</v>
      </c>
    </row>
    <row r="711" ht="13.5">
      <c r="D711" s="141" t="s">
        <v>541</v>
      </c>
    </row>
    <row r="712" ht="27">
      <c r="D712" s="141" t="s">
        <v>542</v>
      </c>
    </row>
    <row r="713" ht="27">
      <c r="D713" s="141" t="s">
        <v>638</v>
      </c>
    </row>
    <row r="714" ht="27">
      <c r="D714" s="141" t="s">
        <v>639</v>
      </c>
    </row>
    <row r="715" ht="27">
      <c r="D715" s="141" t="s">
        <v>640</v>
      </c>
    </row>
    <row r="716" ht="27">
      <c r="D716" s="141" t="s">
        <v>641</v>
      </c>
    </row>
    <row r="717" ht="13.5">
      <c r="D717" s="141" t="s">
        <v>642</v>
      </c>
    </row>
    <row r="718" ht="13.5">
      <c r="D718" s="141" t="s">
        <v>643</v>
      </c>
    </row>
    <row r="719" ht="27">
      <c r="D719" s="141" t="s">
        <v>644</v>
      </c>
    </row>
    <row r="720" ht="27">
      <c r="D720" s="141" t="s">
        <v>1097</v>
      </c>
    </row>
    <row r="721" ht="27">
      <c r="D721" s="141" t="s">
        <v>1098</v>
      </c>
    </row>
    <row r="722" ht="27">
      <c r="D722" s="141" t="s">
        <v>491</v>
      </c>
    </row>
    <row r="723" ht="27">
      <c r="D723" s="141" t="s">
        <v>492</v>
      </c>
    </row>
    <row r="724" ht="27">
      <c r="D724" s="141" t="s">
        <v>493</v>
      </c>
    </row>
    <row r="725" ht="13.5">
      <c r="D725" s="141" t="s">
        <v>494</v>
      </c>
    </row>
    <row r="726" ht="13.5">
      <c r="D726" s="141" t="s">
        <v>495</v>
      </c>
    </row>
    <row r="727" ht="27">
      <c r="D727" s="141" t="s">
        <v>496</v>
      </c>
    </row>
    <row r="728" ht="27">
      <c r="D728" s="141" t="s">
        <v>497</v>
      </c>
    </row>
    <row r="729" ht="27">
      <c r="D729" s="141" t="s">
        <v>498</v>
      </c>
    </row>
    <row r="730" ht="13.5">
      <c r="D730" s="141" t="s">
        <v>499</v>
      </c>
    </row>
    <row r="731" ht="13.5">
      <c r="D731" s="141" t="s">
        <v>500</v>
      </c>
    </row>
    <row r="732" ht="13.5">
      <c r="D732" s="141" t="s">
        <v>501</v>
      </c>
    </row>
    <row r="733" ht="27">
      <c r="D733" s="141" t="s">
        <v>626</v>
      </c>
    </row>
    <row r="734" ht="27">
      <c r="D734" s="141" t="s">
        <v>627</v>
      </c>
    </row>
    <row r="735" ht="27">
      <c r="D735" s="141" t="s">
        <v>628</v>
      </c>
    </row>
    <row r="736" ht="27">
      <c r="D736" s="141" t="s">
        <v>629</v>
      </c>
    </row>
    <row r="737" ht="27">
      <c r="D737" s="141" t="s">
        <v>630</v>
      </c>
    </row>
    <row r="738" ht="13.5">
      <c r="D738" s="141" t="s">
        <v>631</v>
      </c>
    </row>
    <row r="739" ht="13.5">
      <c r="D739" s="141" t="s">
        <v>632</v>
      </c>
    </row>
    <row r="740" ht="13.5">
      <c r="D740" s="141" t="s">
        <v>633</v>
      </c>
    </row>
    <row r="741" ht="27">
      <c r="D741" s="141" t="s">
        <v>634</v>
      </c>
    </row>
    <row r="742" ht="27">
      <c r="D742" s="141" t="s">
        <v>425</v>
      </c>
    </row>
    <row r="743" ht="27">
      <c r="D743" s="141" t="s">
        <v>327</v>
      </c>
    </row>
    <row r="744" ht="27">
      <c r="D744" s="141" t="s">
        <v>328</v>
      </c>
    </row>
    <row r="745" ht="13.5">
      <c r="D745" s="141" t="s">
        <v>657</v>
      </c>
    </row>
    <row r="746" ht="27">
      <c r="D746" s="141" t="s">
        <v>658</v>
      </c>
    </row>
    <row r="747" ht="27">
      <c r="D747" s="141" t="s">
        <v>659</v>
      </c>
    </row>
    <row r="748" ht="13.5">
      <c r="D748" s="141" t="s">
        <v>660</v>
      </c>
    </row>
    <row r="749" ht="13.5">
      <c r="D749" s="141" t="s">
        <v>661</v>
      </c>
    </row>
    <row r="750" ht="27">
      <c r="D750" s="141" t="s">
        <v>662</v>
      </c>
    </row>
    <row r="751" ht="13.5">
      <c r="D751" s="141" t="s">
        <v>663</v>
      </c>
    </row>
    <row r="752" ht="13.5">
      <c r="D752" s="141" t="s">
        <v>294</v>
      </c>
    </row>
    <row r="753" ht="27">
      <c r="D753" s="141" t="s">
        <v>739</v>
      </c>
    </row>
    <row r="754" ht="27">
      <c r="D754" s="141" t="s">
        <v>740</v>
      </c>
    </row>
    <row r="755" ht="27">
      <c r="D755" s="141" t="s">
        <v>741</v>
      </c>
    </row>
    <row r="756" ht="13.5">
      <c r="D756" s="141" t="s">
        <v>742</v>
      </c>
    </row>
    <row r="757" ht="27">
      <c r="D757" s="141" t="s">
        <v>743</v>
      </c>
    </row>
    <row r="758" ht="27">
      <c r="D758" s="141" t="s">
        <v>744</v>
      </c>
    </row>
    <row r="759" ht="27">
      <c r="D759" s="141" t="s">
        <v>745</v>
      </c>
    </row>
    <row r="760" ht="27">
      <c r="D760" s="141" t="s">
        <v>746</v>
      </c>
    </row>
    <row r="761" ht="27">
      <c r="D761" s="141" t="s">
        <v>747</v>
      </c>
    </row>
    <row r="762" ht="27">
      <c r="D762" s="141" t="s">
        <v>748</v>
      </c>
    </row>
    <row r="763" ht="27">
      <c r="D763" s="141" t="s">
        <v>1471</v>
      </c>
    </row>
    <row r="764" ht="27">
      <c r="D764" s="141" t="s">
        <v>1472</v>
      </c>
    </row>
    <row r="765" ht="27">
      <c r="D765" s="141" t="s">
        <v>1473</v>
      </c>
    </row>
    <row r="766" ht="27">
      <c r="D766" s="141" t="s">
        <v>1474</v>
      </c>
    </row>
    <row r="767" ht="27">
      <c r="D767" s="141" t="s">
        <v>1475</v>
      </c>
    </row>
    <row r="768" ht="27">
      <c r="D768" s="141" t="s">
        <v>1476</v>
      </c>
    </row>
    <row r="769" ht="27">
      <c r="D769" s="141" t="s">
        <v>1477</v>
      </c>
    </row>
    <row r="770" ht="27">
      <c r="D770" s="141" t="s">
        <v>1478</v>
      </c>
    </row>
    <row r="771" ht="27">
      <c r="D771" s="141" t="s">
        <v>1479</v>
      </c>
    </row>
    <row r="772" ht="27">
      <c r="D772" s="141" t="s">
        <v>1480</v>
      </c>
    </row>
    <row r="773" ht="27">
      <c r="D773" s="141" t="s">
        <v>1481</v>
      </c>
    </row>
    <row r="774" ht="27">
      <c r="D774" s="141" t="s">
        <v>1482</v>
      </c>
    </row>
    <row r="775" ht="27">
      <c r="D775" s="141" t="s">
        <v>1483</v>
      </c>
    </row>
    <row r="776" ht="27">
      <c r="D776" s="141" t="s">
        <v>1484</v>
      </c>
    </row>
    <row r="777" ht="27">
      <c r="D777" s="141" t="s">
        <v>1485</v>
      </c>
    </row>
    <row r="778" ht="27">
      <c r="D778" s="141" t="s">
        <v>1486</v>
      </c>
    </row>
    <row r="779" ht="27">
      <c r="D779" s="141" t="s">
        <v>1487</v>
      </c>
    </row>
    <row r="780" ht="27">
      <c r="D780" s="141" t="s">
        <v>1488</v>
      </c>
    </row>
    <row r="781" ht="27">
      <c r="D781" s="141" t="s">
        <v>1489</v>
      </c>
    </row>
    <row r="782" ht="27">
      <c r="D782" s="141" t="s">
        <v>1418</v>
      </c>
    </row>
    <row r="783" ht="27">
      <c r="D783" s="141" t="s">
        <v>1419</v>
      </c>
    </row>
    <row r="784" ht="27">
      <c r="D784" s="141" t="s">
        <v>1420</v>
      </c>
    </row>
    <row r="785" ht="13.5">
      <c r="D785" s="141" t="s">
        <v>1421</v>
      </c>
    </row>
    <row r="786" ht="13.5">
      <c r="D786" s="141" t="s">
        <v>1422</v>
      </c>
    </row>
    <row r="787" ht="13.5">
      <c r="D787" s="141" t="s">
        <v>1423</v>
      </c>
    </row>
    <row r="788" ht="27">
      <c r="D788" s="141" t="s">
        <v>1424</v>
      </c>
    </row>
    <row r="789" ht="13.5">
      <c r="D789" s="141" t="s">
        <v>1127</v>
      </c>
    </row>
    <row r="790" ht="27">
      <c r="D790" s="141" t="s">
        <v>1389</v>
      </c>
    </row>
    <row r="791" ht="13.5">
      <c r="D791" s="141" t="s">
        <v>1390</v>
      </c>
    </row>
    <row r="792" ht="27">
      <c r="D792" s="141" t="s">
        <v>1391</v>
      </c>
    </row>
    <row r="793" ht="27">
      <c r="D793" s="141" t="s">
        <v>1392</v>
      </c>
    </row>
    <row r="794" ht="27">
      <c r="D794" s="141" t="s">
        <v>1393</v>
      </c>
    </row>
    <row r="795" ht="27">
      <c r="D795" s="141" t="s">
        <v>1394</v>
      </c>
    </row>
    <row r="796" ht="27">
      <c r="D796" s="141" t="s">
        <v>1395</v>
      </c>
    </row>
    <row r="797" ht="27">
      <c r="D797" s="141" t="s">
        <v>1396</v>
      </c>
    </row>
    <row r="798" ht="27">
      <c r="D798" s="141" t="s">
        <v>1397</v>
      </c>
    </row>
    <row r="799" ht="13.5">
      <c r="D799" s="141" t="s">
        <v>1398</v>
      </c>
    </row>
    <row r="800" ht="13.5">
      <c r="D800" s="141" t="s">
        <v>1399</v>
      </c>
    </row>
    <row r="801" ht="13.5">
      <c r="D801" s="141" t="s">
        <v>1400</v>
      </c>
    </row>
    <row r="802" ht="27">
      <c r="D802" s="141" t="s">
        <v>1401</v>
      </c>
    </row>
    <row r="803" ht="27">
      <c r="D803" s="141" t="s">
        <v>1402</v>
      </c>
    </row>
    <row r="804" ht="13.5">
      <c r="D804" s="141" t="s">
        <v>1403</v>
      </c>
    </row>
    <row r="805" ht="13.5">
      <c r="D805" s="141" t="s">
        <v>1404</v>
      </c>
    </row>
    <row r="806" ht="27">
      <c r="D806" s="141" t="s">
        <v>1405</v>
      </c>
    </row>
    <row r="807" ht="27">
      <c r="D807" s="141" t="s">
        <v>1406</v>
      </c>
    </row>
    <row r="808" ht="27">
      <c r="D808" s="141" t="s">
        <v>1407</v>
      </c>
    </row>
    <row r="809" ht="13.5">
      <c r="D809" s="141" t="s">
        <v>772</v>
      </c>
    </row>
    <row r="810" ht="27">
      <c r="D810" s="141" t="s">
        <v>1689</v>
      </c>
    </row>
    <row r="811" ht="27">
      <c r="D811" s="141" t="s">
        <v>1690</v>
      </c>
    </row>
    <row r="812" ht="13.5">
      <c r="D812" s="141" t="s">
        <v>1691</v>
      </c>
    </row>
    <row r="813" ht="27">
      <c r="D813" s="141" t="s">
        <v>1692</v>
      </c>
    </row>
    <row r="814" ht="13.5">
      <c r="D814" s="141" t="s">
        <v>1693</v>
      </c>
    </row>
    <row r="815" ht="27">
      <c r="D815" s="141" t="s">
        <v>1694</v>
      </c>
    </row>
    <row r="816" ht="27">
      <c r="D816" s="141" t="s">
        <v>1695</v>
      </c>
    </row>
    <row r="817" ht="27">
      <c r="D817" s="141" t="s">
        <v>1696</v>
      </c>
    </row>
    <row r="818" ht="27">
      <c r="D818" s="141" t="s">
        <v>1697</v>
      </c>
    </row>
    <row r="819" ht="13.5">
      <c r="D819" s="141" t="s">
        <v>1698</v>
      </c>
    </row>
    <row r="820" ht="27">
      <c r="D820" s="141" t="s">
        <v>1699</v>
      </c>
    </row>
    <row r="821" ht="27">
      <c r="D821" s="141" t="s">
        <v>1700</v>
      </c>
    </row>
    <row r="822" ht="27">
      <c r="D822" s="141" t="s">
        <v>1701</v>
      </c>
    </row>
    <row r="823" ht="27">
      <c r="D823" s="141" t="s">
        <v>1702</v>
      </c>
    </row>
    <row r="824" ht="27">
      <c r="D824" s="141" t="s">
        <v>1703</v>
      </c>
    </row>
    <row r="825" ht="27">
      <c r="D825" s="141" t="s">
        <v>1704</v>
      </c>
    </row>
    <row r="826" ht="27">
      <c r="D826" s="141" t="s">
        <v>1705</v>
      </c>
    </row>
    <row r="827" ht="27">
      <c r="D827" s="141" t="s">
        <v>1706</v>
      </c>
    </row>
    <row r="828" ht="27">
      <c r="D828" s="141" t="s">
        <v>581</v>
      </c>
    </row>
    <row r="829" ht="27">
      <c r="D829" s="141" t="s">
        <v>582</v>
      </c>
    </row>
    <row r="830" ht="27">
      <c r="D830" s="141" t="s">
        <v>583</v>
      </c>
    </row>
    <row r="831" ht="27">
      <c r="D831" s="141" t="s">
        <v>584</v>
      </c>
    </row>
    <row r="832" ht="27">
      <c r="D832" s="141" t="s">
        <v>585</v>
      </c>
    </row>
    <row r="833" ht="27">
      <c r="D833" s="141" t="s">
        <v>1431</v>
      </c>
    </row>
    <row r="834" ht="27">
      <c r="D834" s="141" t="s">
        <v>1432</v>
      </c>
    </row>
    <row r="835" ht="27">
      <c r="D835" s="141" t="s">
        <v>1433</v>
      </c>
    </row>
    <row r="836" ht="13.5">
      <c r="D836" s="141" t="s">
        <v>1434</v>
      </c>
    </row>
    <row r="837" ht="27">
      <c r="D837" s="141" t="s">
        <v>369</v>
      </c>
    </row>
    <row r="838" ht="27">
      <c r="D838" s="141" t="s">
        <v>370</v>
      </c>
    </row>
    <row r="839" ht="27">
      <c r="D839" s="141" t="s">
        <v>371</v>
      </c>
    </row>
    <row r="840" ht="27">
      <c r="D840" s="141" t="s">
        <v>372</v>
      </c>
    </row>
    <row r="841" ht="13.5">
      <c r="D841" s="141" t="s">
        <v>373</v>
      </c>
    </row>
    <row r="842" ht="13.5">
      <c r="D842" s="141" t="s">
        <v>374</v>
      </c>
    </row>
    <row r="843" ht="27">
      <c r="D843" s="141" t="s">
        <v>375</v>
      </c>
    </row>
    <row r="844" ht="13.5">
      <c r="D844" s="141" t="s">
        <v>376</v>
      </c>
    </row>
    <row r="845" ht="27">
      <c r="D845" s="141" t="s">
        <v>377</v>
      </c>
    </row>
    <row r="846" ht="27">
      <c r="D846" s="141" t="s">
        <v>1213</v>
      </c>
    </row>
    <row r="847" ht="27">
      <c r="D847" s="141" t="s">
        <v>1214</v>
      </c>
    </row>
    <row r="848" ht="27">
      <c r="D848" s="141" t="s">
        <v>706</v>
      </c>
    </row>
    <row r="849" ht="13.5">
      <c r="D849" s="141" t="s">
        <v>758</v>
      </c>
    </row>
    <row r="850" ht="27">
      <c r="D850" s="141" t="s">
        <v>759</v>
      </c>
    </row>
    <row r="851" ht="27">
      <c r="D851" s="141" t="s">
        <v>760</v>
      </c>
    </row>
    <row r="852" ht="27">
      <c r="D852" s="141" t="s">
        <v>761</v>
      </c>
    </row>
    <row r="853" ht="27">
      <c r="D853" s="141" t="s">
        <v>762</v>
      </c>
    </row>
    <row r="854" ht="27">
      <c r="D854" s="141" t="s">
        <v>763</v>
      </c>
    </row>
    <row r="855" ht="27">
      <c r="D855" s="141" t="s">
        <v>764</v>
      </c>
    </row>
    <row r="856" ht="27">
      <c r="D856" s="141" t="s">
        <v>765</v>
      </c>
    </row>
    <row r="857" ht="27">
      <c r="D857" s="141" t="s">
        <v>1409</v>
      </c>
    </row>
    <row r="858" ht="27">
      <c r="D858" s="141" t="s">
        <v>617</v>
      </c>
    </row>
    <row r="859" ht="27">
      <c r="D859" s="141" t="s">
        <v>618</v>
      </c>
    </row>
    <row r="860" ht="27">
      <c r="D860" s="141" t="s">
        <v>619</v>
      </c>
    </row>
    <row r="861" ht="27">
      <c r="D861" s="141" t="s">
        <v>620</v>
      </c>
    </row>
    <row r="862" ht="27">
      <c r="D862" s="141" t="s">
        <v>621</v>
      </c>
    </row>
    <row r="863" ht="27">
      <c r="D863" s="141" t="s">
        <v>622</v>
      </c>
    </row>
    <row r="864" ht="27">
      <c r="D864" s="141" t="s">
        <v>1239</v>
      </c>
    </row>
    <row r="865" ht="27">
      <c r="D865" s="141" t="s">
        <v>1240</v>
      </c>
    </row>
    <row r="866" ht="13.5">
      <c r="D866" s="141" t="s">
        <v>1241</v>
      </c>
    </row>
    <row r="867" ht="27">
      <c r="D867" s="141" t="s">
        <v>1242</v>
      </c>
    </row>
    <row r="868" ht="27">
      <c r="D868" s="141" t="s">
        <v>1243</v>
      </c>
    </row>
    <row r="869" ht="13.5">
      <c r="D869" s="141" t="s">
        <v>1244</v>
      </c>
    </row>
    <row r="870" ht="27">
      <c r="D870" s="141" t="s">
        <v>1245</v>
      </c>
    </row>
    <row r="871" ht="13.5">
      <c r="D871" s="141" t="s">
        <v>1246</v>
      </c>
    </row>
    <row r="872" ht="27">
      <c r="D872" s="141" t="s">
        <v>1247</v>
      </c>
    </row>
    <row r="873" ht="27">
      <c r="D873" s="141" t="s">
        <v>1248</v>
      </c>
    </row>
    <row r="874" ht="27">
      <c r="D874" s="141" t="s">
        <v>1249</v>
      </c>
    </row>
    <row r="875" ht="27">
      <c r="D875" s="141" t="s">
        <v>1250</v>
      </c>
    </row>
    <row r="876" ht="27">
      <c r="D876" s="141" t="s">
        <v>1251</v>
      </c>
    </row>
    <row r="877" ht="27">
      <c r="D877" s="141" t="s">
        <v>1252</v>
      </c>
    </row>
    <row r="878" ht="27">
      <c r="D878" s="141" t="s">
        <v>1253</v>
      </c>
    </row>
    <row r="879" ht="13.5">
      <c r="D879" s="141" t="s">
        <v>1254</v>
      </c>
    </row>
    <row r="880" ht="27">
      <c r="D880" s="141" t="s">
        <v>1255</v>
      </c>
    </row>
    <row r="881" ht="13.5">
      <c r="D881" s="141" t="s">
        <v>1256</v>
      </c>
    </row>
    <row r="882" ht="27">
      <c r="D882" s="141" t="s">
        <v>1257</v>
      </c>
    </row>
    <row r="883" ht="27">
      <c r="D883" s="141" t="s">
        <v>1551</v>
      </c>
    </row>
    <row r="884" ht="27">
      <c r="D884" s="141" t="s">
        <v>1552</v>
      </c>
    </row>
    <row r="885" ht="27">
      <c r="D885" s="141" t="s">
        <v>1553</v>
      </c>
    </row>
    <row r="886" ht="27">
      <c r="D886" s="141" t="s">
        <v>1554</v>
      </c>
    </row>
    <row r="887" ht="27">
      <c r="D887" s="141" t="s">
        <v>1555</v>
      </c>
    </row>
    <row r="888" ht="27">
      <c r="D888" s="141" t="s">
        <v>1556</v>
      </c>
    </row>
    <row r="889" ht="27">
      <c r="D889" s="141" t="s">
        <v>857</v>
      </c>
    </row>
    <row r="890" ht="27">
      <c r="D890" s="141" t="s">
        <v>1438</v>
      </c>
    </row>
    <row r="891" ht="27">
      <c r="D891" s="141" t="s">
        <v>1439</v>
      </c>
    </row>
    <row r="892" ht="27">
      <c r="D892" s="141" t="s">
        <v>1440</v>
      </c>
    </row>
    <row r="893" ht="27">
      <c r="D893" s="141" t="s">
        <v>1441</v>
      </c>
    </row>
    <row r="894" ht="27">
      <c r="D894" s="141" t="s">
        <v>780</v>
      </c>
    </row>
    <row r="895" ht="27">
      <c r="D895" s="141" t="s">
        <v>781</v>
      </c>
    </row>
    <row r="896" ht="27">
      <c r="D896" s="141" t="s">
        <v>1559</v>
      </c>
    </row>
    <row r="897" ht="27">
      <c r="D897" s="141" t="s">
        <v>1560</v>
      </c>
    </row>
    <row r="898" ht="27">
      <c r="D898" s="141" t="s">
        <v>1561</v>
      </c>
    </row>
    <row r="899" ht="27">
      <c r="D899" s="141" t="s">
        <v>1562</v>
      </c>
    </row>
    <row r="900" ht="13.5">
      <c r="D900" s="141" t="s">
        <v>1563</v>
      </c>
    </row>
    <row r="901" ht="27">
      <c r="D901" s="141" t="s">
        <v>1564</v>
      </c>
    </row>
    <row r="902" ht="13.5">
      <c r="D902" s="141" t="s">
        <v>1565</v>
      </c>
    </row>
    <row r="903" ht="13.5">
      <c r="D903" s="141" t="s">
        <v>1566</v>
      </c>
    </row>
    <row r="904" ht="13.5">
      <c r="D904" s="141" t="s">
        <v>1567</v>
      </c>
    </row>
    <row r="905" ht="13.5">
      <c r="D905" s="141" t="s">
        <v>1568</v>
      </c>
    </row>
    <row r="906" ht="27">
      <c r="D906" s="141" t="s">
        <v>1569</v>
      </c>
    </row>
    <row r="907" ht="27">
      <c r="D907" s="141" t="s">
        <v>1570</v>
      </c>
    </row>
    <row r="908" ht="27">
      <c r="D908" s="141" t="s">
        <v>1571</v>
      </c>
    </row>
    <row r="909" ht="27">
      <c r="D909" s="141" t="s">
        <v>1572</v>
      </c>
    </row>
    <row r="910" ht="27">
      <c r="D910" s="141" t="s">
        <v>1573</v>
      </c>
    </row>
    <row r="911" ht="27">
      <c r="D911" s="141" t="s">
        <v>1574</v>
      </c>
    </row>
    <row r="912" ht="13.5">
      <c r="D912" s="141" t="s">
        <v>379</v>
      </c>
    </row>
    <row r="913" ht="13.5">
      <c r="D913" s="141" t="s">
        <v>380</v>
      </c>
    </row>
    <row r="914" ht="13.5">
      <c r="D914" s="141" t="s">
        <v>381</v>
      </c>
    </row>
    <row r="915" ht="13.5">
      <c r="D915" s="141" t="s">
        <v>382</v>
      </c>
    </row>
    <row r="916" ht="13.5">
      <c r="D916" s="141" t="s">
        <v>383</v>
      </c>
    </row>
    <row r="917" ht="13.5">
      <c r="D917" s="141" t="s">
        <v>595</v>
      </c>
    </row>
    <row r="918" ht="27">
      <c r="D918" s="141" t="s">
        <v>596</v>
      </c>
    </row>
    <row r="919" ht="27">
      <c r="D919" s="141" t="s">
        <v>597</v>
      </c>
    </row>
    <row r="920" ht="27">
      <c r="D920" s="141" t="s">
        <v>288</v>
      </c>
    </row>
    <row r="921" ht="13.5">
      <c r="D921" s="141" t="s">
        <v>289</v>
      </c>
    </row>
    <row r="922" ht="27">
      <c r="D922" s="141" t="s">
        <v>290</v>
      </c>
    </row>
    <row r="923" ht="27">
      <c r="D923" s="141" t="s">
        <v>291</v>
      </c>
    </row>
    <row r="924" ht="13.5">
      <c r="D924" s="141" t="s">
        <v>292</v>
      </c>
    </row>
    <row r="925" ht="13.5">
      <c r="D925" s="141" t="s">
        <v>293</v>
      </c>
    </row>
    <row r="926" ht="27">
      <c r="D926" s="141" t="s">
        <v>1140</v>
      </c>
    </row>
    <row r="927" ht="27">
      <c r="D927" s="141" t="s">
        <v>1141</v>
      </c>
    </row>
    <row r="928" ht="13.5">
      <c r="D928" s="141" t="s">
        <v>655</v>
      </c>
    </row>
    <row r="929" ht="27">
      <c r="D929" s="141" t="s">
        <v>656</v>
      </c>
    </row>
    <row r="930" ht="13.5">
      <c r="D930" s="141" t="s">
        <v>783</v>
      </c>
    </row>
    <row r="931" ht="27">
      <c r="D931" s="141" t="s">
        <v>784</v>
      </c>
    </row>
    <row r="932" ht="13.5">
      <c r="D932" s="141" t="s">
        <v>785</v>
      </c>
    </row>
    <row r="933" ht="13.5">
      <c r="D933" s="141" t="s">
        <v>786</v>
      </c>
    </row>
    <row r="934" ht="27">
      <c r="D934" s="141" t="s">
        <v>787</v>
      </c>
    </row>
    <row r="935" ht="27">
      <c r="D935" s="141" t="s">
        <v>788</v>
      </c>
    </row>
    <row r="936" ht="27">
      <c r="D936" s="141" t="s">
        <v>88</v>
      </c>
    </row>
    <row r="937" ht="27">
      <c r="D937" s="141" t="s">
        <v>89</v>
      </c>
    </row>
    <row r="938" ht="27">
      <c r="D938" s="141" t="s">
        <v>90</v>
      </c>
    </row>
    <row r="939" ht="27">
      <c r="D939" s="141" t="s">
        <v>91</v>
      </c>
    </row>
    <row r="940" ht="27">
      <c r="D940" s="141" t="s">
        <v>92</v>
      </c>
    </row>
    <row r="941" ht="27">
      <c r="D941" s="141" t="s">
        <v>93</v>
      </c>
    </row>
    <row r="942" ht="27">
      <c r="D942" s="141" t="s">
        <v>94</v>
      </c>
    </row>
    <row r="943" ht="27">
      <c r="D943" s="141" t="s">
        <v>95</v>
      </c>
    </row>
    <row r="944" ht="27">
      <c r="D944" s="141" t="s">
        <v>96</v>
      </c>
    </row>
    <row r="945" ht="27">
      <c r="D945" s="141" t="s">
        <v>1171</v>
      </c>
    </row>
    <row r="946" ht="27">
      <c r="D946" s="141" t="s">
        <v>1172</v>
      </c>
    </row>
    <row r="947" ht="27">
      <c r="D947" s="141" t="s">
        <v>1173</v>
      </c>
    </row>
    <row r="948" ht="27">
      <c r="D948" s="141" t="s">
        <v>1174</v>
      </c>
    </row>
    <row r="949" ht="27">
      <c r="D949" s="141" t="s">
        <v>1175</v>
      </c>
    </row>
    <row r="950" ht="27">
      <c r="D950" s="141" t="s">
        <v>1176</v>
      </c>
    </row>
    <row r="951" ht="13.5">
      <c r="D951" s="141" t="s">
        <v>1177</v>
      </c>
    </row>
    <row r="952" ht="27">
      <c r="D952" s="141" t="s">
        <v>1178</v>
      </c>
    </row>
    <row r="953" ht="13.5">
      <c r="D953" s="141" t="s">
        <v>1179</v>
      </c>
    </row>
    <row r="954" ht="13.5">
      <c r="D954" s="141" t="s">
        <v>1180</v>
      </c>
    </row>
    <row r="955" ht="27">
      <c r="D955" s="141" t="s">
        <v>1181</v>
      </c>
    </row>
    <row r="956" ht="27">
      <c r="D956" s="141" t="s">
        <v>749</v>
      </c>
    </row>
    <row r="957" ht="27">
      <c r="D957" s="141" t="s">
        <v>750</v>
      </c>
    </row>
    <row r="958" ht="13.5">
      <c r="D958" s="141" t="s">
        <v>751</v>
      </c>
    </row>
    <row r="959" ht="27">
      <c r="D959" s="141" t="s">
        <v>752</v>
      </c>
    </row>
    <row r="960" ht="27">
      <c r="D960" s="141" t="s">
        <v>753</v>
      </c>
    </row>
    <row r="961" ht="27">
      <c r="D961" s="141" t="s">
        <v>754</v>
      </c>
    </row>
    <row r="962" ht="27">
      <c r="D962" s="141" t="s">
        <v>755</v>
      </c>
    </row>
    <row r="963" ht="27">
      <c r="D963" s="141" t="s">
        <v>756</v>
      </c>
    </row>
    <row r="964" ht="27">
      <c r="D964" s="141" t="s">
        <v>757</v>
      </c>
    </row>
    <row r="965" ht="27">
      <c r="D965" s="141" t="s">
        <v>229</v>
      </c>
    </row>
    <row r="966" ht="27">
      <c r="D966" s="141" t="s">
        <v>230</v>
      </c>
    </row>
    <row r="967" ht="27">
      <c r="D967" s="141" t="s">
        <v>231</v>
      </c>
    </row>
    <row r="968" ht="27">
      <c r="D968" s="141" t="s">
        <v>232</v>
      </c>
    </row>
    <row r="969" ht="27">
      <c r="D969" s="141" t="s">
        <v>233</v>
      </c>
    </row>
    <row r="970" ht="27">
      <c r="D970" s="141" t="s">
        <v>234</v>
      </c>
    </row>
    <row r="971" ht="27">
      <c r="D971" s="141" t="s">
        <v>235</v>
      </c>
    </row>
    <row r="972" ht="27">
      <c r="D972" s="141" t="s">
        <v>236</v>
      </c>
    </row>
    <row r="973" ht="27">
      <c r="D973" s="141" t="s">
        <v>237</v>
      </c>
    </row>
    <row r="974" ht="27">
      <c r="D974" s="141" t="s">
        <v>238</v>
      </c>
    </row>
    <row r="975" ht="27">
      <c r="D975" s="141" t="s">
        <v>239</v>
      </c>
    </row>
    <row r="976" ht="27">
      <c r="D976" s="141" t="s">
        <v>240</v>
      </c>
    </row>
    <row r="977" ht="13.5">
      <c r="D977" s="141" t="s">
        <v>241</v>
      </c>
    </row>
    <row r="978" ht="27">
      <c r="D978" s="141" t="s">
        <v>447</v>
      </c>
    </row>
    <row r="979" ht="27">
      <c r="D979" s="141" t="s">
        <v>448</v>
      </c>
    </row>
    <row r="980" ht="13.5">
      <c r="D980" s="141" t="s">
        <v>449</v>
      </c>
    </row>
    <row r="981" ht="27">
      <c r="D981" s="141" t="s">
        <v>450</v>
      </c>
    </row>
    <row r="982" ht="27">
      <c r="D982" s="141" t="s">
        <v>451</v>
      </c>
    </row>
    <row r="983" ht="27">
      <c r="D983" s="141" t="s">
        <v>452</v>
      </c>
    </row>
    <row r="984" ht="27">
      <c r="D984" s="141" t="s">
        <v>1164</v>
      </c>
    </row>
    <row r="985" ht="27">
      <c r="D985" s="141" t="s">
        <v>1165</v>
      </c>
    </row>
    <row r="986" ht="27">
      <c r="D986" s="141" t="s">
        <v>1166</v>
      </c>
    </row>
    <row r="987" ht="27">
      <c r="D987" s="141" t="s">
        <v>1167</v>
      </c>
    </row>
    <row r="988" ht="27">
      <c r="D988" s="141" t="s">
        <v>111</v>
      </c>
    </row>
    <row r="989" ht="27">
      <c r="D989" s="141" t="s">
        <v>112</v>
      </c>
    </row>
    <row r="990" ht="27">
      <c r="D990" s="141" t="s">
        <v>113</v>
      </c>
    </row>
    <row r="991" ht="13.5">
      <c r="D991" s="141" t="s">
        <v>114</v>
      </c>
    </row>
    <row r="992" ht="27">
      <c r="D992" s="141" t="s">
        <v>115</v>
      </c>
    </row>
    <row r="993" ht="13.5">
      <c r="D993" s="141" t="s">
        <v>116</v>
      </c>
    </row>
    <row r="994" ht="27">
      <c r="D994" s="141" t="s">
        <v>664</v>
      </c>
    </row>
    <row r="995" ht="27">
      <c r="D995" s="141" t="s">
        <v>665</v>
      </c>
    </row>
    <row r="996" ht="27">
      <c r="D996" s="141" t="s">
        <v>666</v>
      </c>
    </row>
    <row r="997" ht="27">
      <c r="D997" s="141" t="s">
        <v>667</v>
      </c>
    </row>
    <row r="998" ht="27">
      <c r="D998" s="141" t="s">
        <v>1716</v>
      </c>
    </row>
    <row r="999" ht="27">
      <c r="D999" s="141" t="s">
        <v>1717</v>
      </c>
    </row>
    <row r="1000" ht="13.5">
      <c r="D1000" s="141" t="s">
        <v>1718</v>
      </c>
    </row>
    <row r="1001" ht="27">
      <c r="D1001" s="141" t="s">
        <v>1719</v>
      </c>
    </row>
    <row r="1002" ht="13.5">
      <c r="D1002" s="141" t="s">
        <v>1335</v>
      </c>
    </row>
    <row r="1003" ht="27">
      <c r="D1003" s="141" t="s">
        <v>1336</v>
      </c>
    </row>
    <row r="1004" ht="27">
      <c r="D1004" s="141" t="s">
        <v>1337</v>
      </c>
    </row>
    <row r="1005" ht="27">
      <c r="D1005" s="141" t="s">
        <v>1338</v>
      </c>
    </row>
    <row r="1006" ht="27">
      <c r="D1006" s="141" t="s">
        <v>1339</v>
      </c>
    </row>
    <row r="1007" ht="27">
      <c r="D1007" s="141" t="s">
        <v>1340</v>
      </c>
    </row>
    <row r="1008" ht="27">
      <c r="D1008" s="141" t="s">
        <v>1341</v>
      </c>
    </row>
    <row r="1009" ht="27">
      <c r="D1009" s="141" t="s">
        <v>1342</v>
      </c>
    </row>
    <row r="1010" ht="27">
      <c r="D1010" s="141" t="s">
        <v>1343</v>
      </c>
    </row>
    <row r="1011" ht="27">
      <c r="D1011" s="141" t="s">
        <v>1344</v>
      </c>
    </row>
    <row r="1012" ht="27">
      <c r="D1012" s="141" t="s">
        <v>1345</v>
      </c>
    </row>
    <row r="1013" ht="27">
      <c r="D1013" s="141" t="s">
        <v>1346</v>
      </c>
    </row>
    <row r="1014" ht="27">
      <c r="D1014" s="141" t="s">
        <v>1347</v>
      </c>
    </row>
    <row r="1015" ht="13.5">
      <c r="D1015" s="141" t="s">
        <v>1348</v>
      </c>
    </row>
    <row r="1016" ht="27">
      <c r="D1016" s="141" t="s">
        <v>1349</v>
      </c>
    </row>
    <row r="1017" ht="27">
      <c r="D1017" s="141" t="s">
        <v>1350</v>
      </c>
    </row>
    <row r="1018" ht="27">
      <c r="D1018" s="141" t="s">
        <v>1351</v>
      </c>
    </row>
    <row r="1019" ht="27">
      <c r="D1019" s="141" t="s">
        <v>1352</v>
      </c>
    </row>
    <row r="1020" ht="27">
      <c r="D1020" s="141" t="s">
        <v>1353</v>
      </c>
    </row>
    <row r="1021" ht="27">
      <c r="D1021" s="141" t="s">
        <v>1354</v>
      </c>
    </row>
    <row r="1022" ht="27">
      <c r="D1022" s="141" t="s">
        <v>1355</v>
      </c>
    </row>
    <row r="1023" ht="27">
      <c r="D1023" s="141" t="s">
        <v>1356</v>
      </c>
    </row>
    <row r="1024" ht="27">
      <c r="D1024" s="141" t="s">
        <v>1357</v>
      </c>
    </row>
    <row r="1025" ht="27">
      <c r="D1025" s="141" t="s">
        <v>1358</v>
      </c>
    </row>
    <row r="1026" ht="27">
      <c r="D1026" s="141" t="s">
        <v>484</v>
      </c>
    </row>
    <row r="1027" ht="27">
      <c r="D1027" s="141" t="s">
        <v>485</v>
      </c>
    </row>
    <row r="1028" ht="27">
      <c r="D1028" s="141" t="s">
        <v>486</v>
      </c>
    </row>
    <row r="1029" ht="27">
      <c r="D1029" s="141" t="s">
        <v>487</v>
      </c>
    </row>
    <row r="1030" ht="27">
      <c r="D1030" s="141" t="s">
        <v>488</v>
      </c>
    </row>
    <row r="1031" ht="27">
      <c r="D1031" s="141" t="s">
        <v>489</v>
      </c>
    </row>
    <row r="1032" ht="27">
      <c r="D1032" s="141" t="s">
        <v>490</v>
      </c>
    </row>
    <row r="1033" ht="13.5">
      <c r="D1033" s="141" t="s">
        <v>1611</v>
      </c>
    </row>
    <row r="1034" ht="27">
      <c r="D1034" s="141" t="s">
        <v>1612</v>
      </c>
    </row>
    <row r="1035" ht="27">
      <c r="D1035" s="141" t="s">
        <v>1613</v>
      </c>
    </row>
    <row r="1036" ht="27">
      <c r="D1036" s="141" t="s">
        <v>1614</v>
      </c>
    </row>
    <row r="1037" ht="27">
      <c r="D1037" s="141" t="s">
        <v>1615</v>
      </c>
    </row>
    <row r="1038" ht="27">
      <c r="D1038" s="141" t="s">
        <v>1616</v>
      </c>
    </row>
    <row r="1039" ht="27">
      <c r="D1039" s="141" t="s">
        <v>1617</v>
      </c>
    </row>
    <row r="1040" ht="27">
      <c r="D1040" s="141" t="s">
        <v>1618</v>
      </c>
    </row>
    <row r="1041" ht="27">
      <c r="D1041" s="141" t="s">
        <v>1619</v>
      </c>
    </row>
    <row r="1042" ht="27">
      <c r="D1042" s="141" t="s">
        <v>1620</v>
      </c>
    </row>
    <row r="1043" ht="27">
      <c r="D1043" s="141" t="s">
        <v>821</v>
      </c>
    </row>
    <row r="1044" ht="27">
      <c r="D1044" s="141" t="s">
        <v>822</v>
      </c>
    </row>
    <row r="1045" ht="27">
      <c r="D1045" s="141" t="s">
        <v>1712</v>
      </c>
    </row>
    <row r="1046" ht="27">
      <c r="D1046" s="141" t="s">
        <v>1713</v>
      </c>
    </row>
    <row r="1047" ht="27">
      <c r="D1047" s="141" t="s">
        <v>1714</v>
      </c>
    </row>
    <row r="1048" ht="13.5">
      <c r="D1048" s="141" t="s">
        <v>648</v>
      </c>
    </row>
    <row r="1049" ht="13.5">
      <c r="D1049" s="141" t="s">
        <v>649</v>
      </c>
    </row>
    <row r="1050" ht="27">
      <c r="D1050" s="141" t="s">
        <v>650</v>
      </c>
    </row>
    <row r="1051" ht="27">
      <c r="D1051" s="141" t="s">
        <v>651</v>
      </c>
    </row>
    <row r="1052" ht="27">
      <c r="D1052" s="141" t="s">
        <v>652</v>
      </c>
    </row>
    <row r="1053" ht="27">
      <c r="D1053" s="141" t="s">
        <v>653</v>
      </c>
    </row>
    <row r="1054" ht="27">
      <c r="D1054" s="141" t="s">
        <v>654</v>
      </c>
    </row>
    <row r="1055" ht="27">
      <c r="D1055" s="141" t="s">
        <v>227</v>
      </c>
    </row>
    <row r="1056" ht="27">
      <c r="D1056" s="141" t="s">
        <v>228</v>
      </c>
    </row>
    <row r="1057" ht="27">
      <c r="D1057" s="141" t="s">
        <v>1720</v>
      </c>
    </row>
    <row r="1058" ht="27">
      <c r="D1058" s="141" t="s">
        <v>1721</v>
      </c>
    </row>
    <row r="1059" ht="27">
      <c r="D1059" s="141" t="s">
        <v>1722</v>
      </c>
    </row>
    <row r="1060" ht="27">
      <c r="D1060" s="141" t="s">
        <v>1723</v>
      </c>
    </row>
    <row r="1061" ht="27">
      <c r="D1061" s="141" t="s">
        <v>1724</v>
      </c>
    </row>
    <row r="1062" ht="13.5">
      <c r="D1062" s="141" t="s">
        <v>320</v>
      </c>
    </row>
    <row r="1063" ht="27">
      <c r="D1063" s="141" t="s">
        <v>321</v>
      </c>
    </row>
    <row r="1064" ht="27">
      <c r="D1064" s="141" t="s">
        <v>322</v>
      </c>
    </row>
    <row r="1065" ht="27">
      <c r="D1065" s="141" t="s">
        <v>1028</v>
      </c>
    </row>
    <row r="1066" ht="27">
      <c r="D1066" s="141" t="s">
        <v>1029</v>
      </c>
    </row>
    <row r="1067" ht="27">
      <c r="D1067" s="141" t="s">
        <v>1030</v>
      </c>
    </row>
    <row r="1068" ht="13.5">
      <c r="D1068" s="141" t="s">
        <v>683</v>
      </c>
    </row>
    <row r="1069" ht="27">
      <c r="D1069" s="141" t="s">
        <v>684</v>
      </c>
    </row>
    <row r="1070" ht="27">
      <c r="D1070" s="141" t="s">
        <v>685</v>
      </c>
    </row>
    <row r="1071" ht="27">
      <c r="D1071" s="141" t="s">
        <v>686</v>
      </c>
    </row>
    <row r="1072" ht="27">
      <c r="D1072" s="141" t="s">
        <v>687</v>
      </c>
    </row>
    <row r="1073" ht="27">
      <c r="D1073" s="141" t="s">
        <v>688</v>
      </c>
    </row>
    <row r="1074" ht="27">
      <c r="D1074" s="141" t="s">
        <v>689</v>
      </c>
    </row>
    <row r="1075" ht="27">
      <c r="D1075" s="141" t="s">
        <v>690</v>
      </c>
    </row>
    <row r="1076" ht="27">
      <c r="D1076" s="141" t="s">
        <v>691</v>
      </c>
    </row>
    <row r="1077" ht="27">
      <c r="D1077" s="141" t="s">
        <v>1266</v>
      </c>
    </row>
    <row r="1078" ht="27">
      <c r="D1078" s="141" t="s">
        <v>1267</v>
      </c>
    </row>
    <row r="1079" ht="27">
      <c r="D1079" s="141" t="s">
        <v>1268</v>
      </c>
    </row>
    <row r="1080" ht="13.5">
      <c r="D1080" s="141" t="s">
        <v>1269</v>
      </c>
    </row>
    <row r="1081" ht="27">
      <c r="D1081" s="141" t="s">
        <v>1270</v>
      </c>
    </row>
    <row r="1082" ht="27">
      <c r="D1082" s="141" t="s">
        <v>1271</v>
      </c>
    </row>
    <row r="1083" ht="27">
      <c r="D1083" s="141" t="s">
        <v>1272</v>
      </c>
    </row>
    <row r="1084" ht="27">
      <c r="D1084" s="141" t="s">
        <v>1273</v>
      </c>
    </row>
    <row r="1085" ht="27">
      <c r="D1085" s="141" t="s">
        <v>1274</v>
      </c>
    </row>
    <row r="1086" ht="27">
      <c r="D1086" s="141" t="s">
        <v>1275</v>
      </c>
    </row>
    <row r="1087" ht="27">
      <c r="D1087" s="141" t="s">
        <v>1276</v>
      </c>
    </row>
    <row r="1088" ht="27">
      <c r="D1088" s="141" t="s">
        <v>1277</v>
      </c>
    </row>
    <row r="1089" ht="27">
      <c r="D1089" s="141" t="s">
        <v>60</v>
      </c>
    </row>
    <row r="1090" ht="27">
      <c r="D1090" s="141" t="s">
        <v>61</v>
      </c>
    </row>
    <row r="1091" ht="27">
      <c r="D1091" s="141" t="s">
        <v>62</v>
      </c>
    </row>
    <row r="1092" ht="27">
      <c r="D1092" s="141" t="s">
        <v>63</v>
      </c>
    </row>
    <row r="1093" ht="27">
      <c r="D1093" s="141" t="s">
        <v>64</v>
      </c>
    </row>
    <row r="1094" ht="27">
      <c r="D1094" s="141" t="s">
        <v>19</v>
      </c>
    </row>
    <row r="1095" ht="27">
      <c r="D1095" s="141" t="s">
        <v>1111</v>
      </c>
    </row>
    <row r="1096" ht="27">
      <c r="D1096" s="141" t="s">
        <v>881</v>
      </c>
    </row>
    <row r="1097" ht="13.5">
      <c r="D1097" s="141" t="s">
        <v>882</v>
      </c>
    </row>
    <row r="1098" ht="27">
      <c r="D1098" s="141" t="s">
        <v>883</v>
      </c>
    </row>
    <row r="1099" ht="13.5">
      <c r="D1099" s="141" t="s">
        <v>884</v>
      </c>
    </row>
    <row r="1100" ht="27">
      <c r="D1100" s="141" t="s">
        <v>885</v>
      </c>
    </row>
    <row r="1101" ht="27">
      <c r="D1101" s="141" t="s">
        <v>886</v>
      </c>
    </row>
    <row r="1102" ht="27">
      <c r="D1102" s="141" t="s">
        <v>887</v>
      </c>
    </row>
    <row r="1103" ht="13.5">
      <c r="D1103" s="141" t="s">
        <v>1114</v>
      </c>
    </row>
    <row r="1104" ht="27">
      <c r="D1104" s="141" t="s">
        <v>74</v>
      </c>
    </row>
    <row r="1105" ht="27">
      <c r="D1105" s="141" t="s">
        <v>75</v>
      </c>
    </row>
    <row r="1106" ht="27">
      <c r="D1106" s="141" t="s">
        <v>34</v>
      </c>
    </row>
    <row r="1107" ht="27">
      <c r="D1107" s="141" t="s">
        <v>1010</v>
      </c>
    </row>
    <row r="1108" ht="27">
      <c r="D1108" s="141" t="s">
        <v>1011</v>
      </c>
    </row>
    <row r="1109" ht="27">
      <c r="D1109" s="141" t="s">
        <v>1012</v>
      </c>
    </row>
    <row r="1110" ht="27">
      <c r="D1110" s="141" t="s">
        <v>1013</v>
      </c>
    </row>
    <row r="1111" ht="27">
      <c r="D1111" s="141" t="s">
        <v>1014</v>
      </c>
    </row>
    <row r="1112" ht="27">
      <c r="D1112" s="141" t="s">
        <v>1015</v>
      </c>
    </row>
    <row r="1113" ht="27">
      <c r="D1113" s="141" t="s">
        <v>1016</v>
      </c>
    </row>
    <row r="1114" ht="27">
      <c r="D1114" s="141" t="s">
        <v>1017</v>
      </c>
    </row>
    <row r="1115" ht="27">
      <c r="D1115" s="141" t="s">
        <v>1018</v>
      </c>
    </row>
    <row r="1116" ht="27">
      <c r="D1116" s="141" t="s">
        <v>1019</v>
      </c>
    </row>
    <row r="1117" ht="27">
      <c r="D1117" s="141" t="s">
        <v>1020</v>
      </c>
    </row>
    <row r="1118" ht="27">
      <c r="D1118" s="141" t="s">
        <v>1021</v>
      </c>
    </row>
    <row r="1119" ht="27">
      <c r="D1119" s="141" t="s">
        <v>1022</v>
      </c>
    </row>
    <row r="1120" ht="27">
      <c r="D1120" s="141" t="s">
        <v>1023</v>
      </c>
    </row>
    <row r="1121" ht="13.5">
      <c r="D1121" s="141" t="s">
        <v>1024</v>
      </c>
    </row>
    <row r="1122" ht="27">
      <c r="D1122" s="141" t="s">
        <v>1025</v>
      </c>
    </row>
    <row r="1123" ht="27">
      <c r="D1123" s="141" t="s">
        <v>1026</v>
      </c>
    </row>
    <row r="1124" ht="27">
      <c r="D1124" s="141" t="s">
        <v>262</v>
      </c>
    </row>
    <row r="1125" ht="13.5">
      <c r="D1125" s="141" t="s">
        <v>263</v>
      </c>
    </row>
    <row r="1126" ht="27">
      <c r="D1126" s="141" t="s">
        <v>264</v>
      </c>
    </row>
    <row r="1127" ht="13.5">
      <c r="D1127" s="141" t="s">
        <v>265</v>
      </c>
    </row>
    <row r="1128" ht="27">
      <c r="D1128" s="141" t="s">
        <v>1725</v>
      </c>
    </row>
    <row r="1129" ht="27">
      <c r="D1129" s="141" t="s">
        <v>1726</v>
      </c>
    </row>
    <row r="1130" ht="27">
      <c r="D1130" s="141" t="s">
        <v>1727</v>
      </c>
    </row>
    <row r="1131" ht="27">
      <c r="D1131" s="141" t="s">
        <v>1728</v>
      </c>
    </row>
    <row r="1132" ht="27">
      <c r="D1132" s="141" t="s">
        <v>1729</v>
      </c>
    </row>
    <row r="1133" ht="27">
      <c r="D1133" s="141" t="s">
        <v>1730</v>
      </c>
    </row>
    <row r="1134" ht="27">
      <c r="D1134" s="141" t="s">
        <v>1731</v>
      </c>
    </row>
    <row r="1135" ht="27">
      <c r="D1135" s="141" t="s">
        <v>1732</v>
      </c>
    </row>
    <row r="1136" ht="13.5">
      <c r="D1136" s="141" t="s">
        <v>519</v>
      </c>
    </row>
    <row r="1137" ht="27">
      <c r="D1137" s="141" t="s">
        <v>520</v>
      </c>
    </row>
    <row r="1138" ht="13.5">
      <c r="D1138" s="141" t="s">
        <v>521</v>
      </c>
    </row>
    <row r="1139" ht="27">
      <c r="D1139" s="141" t="s">
        <v>1643</v>
      </c>
    </row>
    <row r="1140" ht="27">
      <c r="D1140" s="141" t="s">
        <v>1684</v>
      </c>
    </row>
    <row r="1141" ht="13.5">
      <c r="D1141" s="141" t="s">
        <v>1685</v>
      </c>
    </row>
    <row r="1142" ht="13.5">
      <c r="D1142" s="141" t="s">
        <v>1686</v>
      </c>
    </row>
    <row r="1143" ht="27">
      <c r="D1143" s="141" t="s">
        <v>1687</v>
      </c>
    </row>
    <row r="1144" ht="13.5">
      <c r="D1144" s="141" t="s">
        <v>1688</v>
      </c>
    </row>
    <row r="1145" ht="13.5">
      <c r="D1145" s="141" t="s">
        <v>254</v>
      </c>
    </row>
    <row r="1146" ht="27">
      <c r="D1146" s="141" t="s">
        <v>255</v>
      </c>
    </row>
    <row r="1147" ht="13.5">
      <c r="D1147" s="141" t="s">
        <v>256</v>
      </c>
    </row>
    <row r="1148" ht="27">
      <c r="D1148" s="141" t="s">
        <v>257</v>
      </c>
    </row>
    <row r="1149" ht="27">
      <c r="D1149" s="141" t="s">
        <v>258</v>
      </c>
    </row>
    <row r="1150" ht="27">
      <c r="D1150" s="141" t="s">
        <v>259</v>
      </c>
    </row>
    <row r="1151" ht="27">
      <c r="D1151" s="141" t="s">
        <v>260</v>
      </c>
    </row>
    <row r="1152" ht="27">
      <c r="D1152" s="141" t="s">
        <v>261</v>
      </c>
    </row>
    <row r="1153" ht="27">
      <c r="D1153" s="141" t="s">
        <v>323</v>
      </c>
    </row>
    <row r="1154" ht="27">
      <c r="D1154" s="141" t="s">
        <v>324</v>
      </c>
    </row>
    <row r="1155" ht="27">
      <c r="D1155" s="141" t="s">
        <v>325</v>
      </c>
    </row>
    <row r="1156" ht="27">
      <c r="D1156" s="141" t="s">
        <v>326</v>
      </c>
    </row>
    <row r="1157" ht="27">
      <c r="D1157" s="141" t="s">
        <v>1143</v>
      </c>
    </row>
    <row r="1158" ht="27">
      <c r="D1158" s="141" t="s">
        <v>1144</v>
      </c>
    </row>
    <row r="1159" ht="27">
      <c r="D1159" s="141" t="s">
        <v>1145</v>
      </c>
    </row>
    <row r="1160" ht="27">
      <c r="D1160" s="141" t="s">
        <v>1146</v>
      </c>
    </row>
    <row r="1161" ht="13.5">
      <c r="D1161" s="141" t="s">
        <v>1147</v>
      </c>
    </row>
    <row r="1162" ht="27">
      <c r="D1162" s="141" t="s">
        <v>1148</v>
      </c>
    </row>
    <row r="1163" ht="27">
      <c r="D1163" s="141" t="s">
        <v>1149</v>
      </c>
    </row>
    <row r="1164" ht="27">
      <c r="D1164" s="141" t="s">
        <v>1150</v>
      </c>
    </row>
    <row r="1165" ht="27">
      <c r="D1165" s="141" t="s">
        <v>1151</v>
      </c>
    </row>
    <row r="1166" ht="13.5">
      <c r="D1166" s="141" t="s">
        <v>1152</v>
      </c>
    </row>
    <row r="1167" ht="27">
      <c r="D1167" s="141" t="s">
        <v>1153</v>
      </c>
    </row>
    <row r="1168" ht="27">
      <c r="D1168" s="141" t="s">
        <v>1154</v>
      </c>
    </row>
    <row r="1169" ht="27">
      <c r="D1169" s="141" t="s">
        <v>1155</v>
      </c>
    </row>
    <row r="1170" ht="27">
      <c r="D1170" s="141" t="s">
        <v>1156</v>
      </c>
    </row>
    <row r="1171" ht="27">
      <c r="D1171" s="141" t="s">
        <v>1157</v>
      </c>
    </row>
    <row r="1172" ht="13.5">
      <c r="D1172" s="141" t="s">
        <v>1158</v>
      </c>
    </row>
    <row r="1173" ht="27">
      <c r="D1173" s="141" t="s">
        <v>117</v>
      </c>
    </row>
    <row r="1174" ht="27">
      <c r="D1174" s="141" t="s">
        <v>118</v>
      </c>
    </row>
    <row r="1175" ht="27">
      <c r="D1175" s="141" t="s">
        <v>119</v>
      </c>
    </row>
    <row r="1176" ht="27">
      <c r="D1176" s="141" t="s">
        <v>733</v>
      </c>
    </row>
    <row r="1177" ht="27">
      <c r="D1177" s="141" t="s">
        <v>734</v>
      </c>
    </row>
    <row r="1178" ht="27">
      <c r="D1178" s="141" t="s">
        <v>735</v>
      </c>
    </row>
    <row r="1179" ht="13.5">
      <c r="D1179" s="141" t="s">
        <v>736</v>
      </c>
    </row>
    <row r="1180" ht="13.5">
      <c r="D1180" s="141" t="s">
        <v>737</v>
      </c>
    </row>
    <row r="1181" ht="13.5">
      <c r="D1181" s="141" t="s">
        <v>528</v>
      </c>
    </row>
    <row r="1182" ht="13.5">
      <c r="D1182" s="141" t="s">
        <v>529</v>
      </c>
    </row>
    <row r="1183" ht="13.5">
      <c r="D1183" s="141" t="s">
        <v>705</v>
      </c>
    </row>
    <row r="1184" ht="27">
      <c r="D1184" s="141" t="s">
        <v>1644</v>
      </c>
    </row>
    <row r="1185" ht="13.5">
      <c r="D1185" s="141" t="s">
        <v>1645</v>
      </c>
    </row>
    <row r="1186" ht="27">
      <c r="D1186" s="141" t="s">
        <v>1646</v>
      </c>
    </row>
    <row r="1187" ht="27">
      <c r="D1187" s="141" t="s">
        <v>1647</v>
      </c>
    </row>
    <row r="1188" ht="27">
      <c r="D1188" s="141" t="s">
        <v>1648</v>
      </c>
    </row>
    <row r="1189" ht="27">
      <c r="D1189" s="141" t="s">
        <v>1649</v>
      </c>
    </row>
    <row r="1190" ht="27">
      <c r="D1190" s="141" t="s">
        <v>1650</v>
      </c>
    </row>
    <row r="1191" ht="27">
      <c r="D1191" s="141" t="s">
        <v>1651</v>
      </c>
    </row>
    <row r="1192" ht="27">
      <c r="D1192" s="141" t="s">
        <v>1652</v>
      </c>
    </row>
    <row r="1193" ht="27">
      <c r="D1193" s="141" t="s">
        <v>1653</v>
      </c>
    </row>
    <row r="1194" ht="27">
      <c r="D1194" s="141" t="s">
        <v>715</v>
      </c>
    </row>
    <row r="1195" ht="13.5">
      <c r="D1195" s="141" t="s">
        <v>716</v>
      </c>
    </row>
    <row r="1196" ht="27">
      <c r="D1196" s="141" t="s">
        <v>717</v>
      </c>
    </row>
    <row r="1197" ht="27">
      <c r="D1197" s="141" t="s">
        <v>718</v>
      </c>
    </row>
    <row r="1198" ht="13.5">
      <c r="D1198" s="141" t="s">
        <v>719</v>
      </c>
    </row>
    <row r="1199" ht="27">
      <c r="D1199" s="141" t="s">
        <v>720</v>
      </c>
    </row>
    <row r="1200" ht="27">
      <c r="D1200" s="141" t="s">
        <v>721</v>
      </c>
    </row>
    <row r="1201" ht="13.5">
      <c r="D1201" s="141" t="s">
        <v>722</v>
      </c>
    </row>
    <row r="1202" ht="13.5">
      <c r="D1202" s="141" t="s">
        <v>723</v>
      </c>
    </row>
    <row r="1203" ht="27">
      <c r="D1203" s="141" t="s">
        <v>724</v>
      </c>
    </row>
    <row r="1204" ht="13.5">
      <c r="D1204" s="141" t="s">
        <v>1454</v>
      </c>
    </row>
    <row r="1205" ht="27">
      <c r="D1205" s="141" t="s">
        <v>1455</v>
      </c>
    </row>
    <row r="1206" ht="27">
      <c r="D1206" s="141" t="s">
        <v>1456</v>
      </c>
    </row>
    <row r="1207" ht="27">
      <c r="D1207" s="141" t="s">
        <v>1457</v>
      </c>
    </row>
    <row r="1208" ht="27">
      <c r="D1208" s="141" t="s">
        <v>1458</v>
      </c>
    </row>
    <row r="1209" ht="27">
      <c r="D1209" s="141" t="s">
        <v>1459</v>
      </c>
    </row>
    <row r="1210" ht="27">
      <c r="D1210" s="141" t="s">
        <v>1460</v>
      </c>
    </row>
    <row r="1211" ht="27">
      <c r="D1211" s="141" t="s">
        <v>1461</v>
      </c>
    </row>
    <row r="1212" ht="27">
      <c r="D1212" s="141" t="s">
        <v>1462</v>
      </c>
    </row>
    <row r="1213" ht="27">
      <c r="D1213" s="141" t="s">
        <v>1463</v>
      </c>
    </row>
    <row r="1214" ht="27">
      <c r="D1214" s="141" t="s">
        <v>1464</v>
      </c>
    </row>
    <row r="1215" ht="27">
      <c r="D1215" s="141" t="s">
        <v>1465</v>
      </c>
    </row>
    <row r="1216" ht="13.5">
      <c r="D1216" s="141" t="s">
        <v>1466</v>
      </c>
    </row>
    <row r="1217" ht="13.5">
      <c r="D1217" s="141" t="s">
        <v>1467</v>
      </c>
    </row>
    <row r="1218" ht="27">
      <c r="D1218" s="141" t="s">
        <v>1468</v>
      </c>
    </row>
    <row r="1219" ht="27">
      <c r="D1219" s="141" t="s">
        <v>1469</v>
      </c>
    </row>
    <row r="1220" ht="27">
      <c r="D1220" s="141" t="s">
        <v>1470</v>
      </c>
    </row>
    <row r="1221" ht="27">
      <c r="D1221" s="141" t="s">
        <v>1182</v>
      </c>
    </row>
    <row r="1222" ht="13.5">
      <c r="D1222" s="141" t="s">
        <v>1183</v>
      </c>
    </row>
    <row r="1223" ht="13.5">
      <c r="D1223" s="141" t="s">
        <v>1184</v>
      </c>
    </row>
    <row r="1224" ht="13.5">
      <c r="D1224" s="141" t="s">
        <v>1185</v>
      </c>
    </row>
    <row r="1225" ht="13.5">
      <c r="D1225" s="141" t="s">
        <v>1186</v>
      </c>
    </row>
    <row r="1226" ht="27">
      <c r="D1226" s="141" t="s">
        <v>1187</v>
      </c>
    </row>
    <row r="1227" ht="27">
      <c r="D1227" s="141" t="s">
        <v>1188</v>
      </c>
    </row>
    <row r="1228" ht="27">
      <c r="D1228" s="141" t="s">
        <v>1189</v>
      </c>
    </row>
    <row r="1229" ht="27">
      <c r="D1229" s="141" t="s">
        <v>1190</v>
      </c>
    </row>
    <row r="1230" ht="13.5">
      <c r="D1230" s="141" t="s">
        <v>1191</v>
      </c>
    </row>
    <row r="1231" ht="27">
      <c r="D1231" s="141" t="s">
        <v>1192</v>
      </c>
    </row>
    <row r="1232" ht="13.5">
      <c r="D1232" s="141" t="s">
        <v>1193</v>
      </c>
    </row>
    <row r="1233" ht="13.5">
      <c r="D1233" s="141" t="s">
        <v>1194</v>
      </c>
    </row>
    <row r="1234" ht="27">
      <c r="D1234" s="141" t="s">
        <v>1195</v>
      </c>
    </row>
    <row r="1235" ht="13.5">
      <c r="D1235" s="141" t="s">
        <v>1196</v>
      </c>
    </row>
    <row r="1236" ht="27">
      <c r="D1236" s="141" t="s">
        <v>1197</v>
      </c>
    </row>
    <row r="1237" ht="27">
      <c r="D1237" s="141" t="s">
        <v>1198</v>
      </c>
    </row>
    <row r="1238" ht="27">
      <c r="D1238" s="141" t="s">
        <v>1199</v>
      </c>
    </row>
    <row r="1239" ht="27">
      <c r="D1239" s="141" t="s">
        <v>1200</v>
      </c>
    </row>
    <row r="1240" ht="27">
      <c r="D1240" s="141" t="s">
        <v>1278</v>
      </c>
    </row>
    <row r="1241" ht="27">
      <c r="D1241" s="141" t="s">
        <v>1626</v>
      </c>
    </row>
    <row r="1242" ht="13.5">
      <c r="D1242" s="141" t="s">
        <v>1627</v>
      </c>
    </row>
    <row r="1243" ht="13.5">
      <c r="D1243" s="141" t="s">
        <v>1628</v>
      </c>
    </row>
    <row r="1244" ht="13.5">
      <c r="D1244" s="141" t="s">
        <v>1629</v>
      </c>
    </row>
    <row r="1245" ht="13.5">
      <c r="D1245" s="141" t="s">
        <v>1630</v>
      </c>
    </row>
    <row r="1246" ht="13.5">
      <c r="D1246" s="141" t="s">
        <v>1631</v>
      </c>
    </row>
    <row r="1247" ht="13.5">
      <c r="D1247" s="141" t="s">
        <v>1632</v>
      </c>
    </row>
    <row r="1248" ht="13.5">
      <c r="D1248" s="141" t="s">
        <v>473</v>
      </c>
    </row>
    <row r="1249" ht="27">
      <c r="D1249" s="141" t="s">
        <v>474</v>
      </c>
    </row>
    <row r="1250" ht="13.5">
      <c r="D1250" s="141" t="s">
        <v>475</v>
      </c>
    </row>
    <row r="1251" ht="27">
      <c r="D1251" s="141" t="s">
        <v>426</v>
      </c>
    </row>
    <row r="1252" ht="27">
      <c r="D1252" s="141" t="s">
        <v>427</v>
      </c>
    </row>
    <row r="1253" ht="13.5">
      <c r="D1253" s="141" t="s">
        <v>428</v>
      </c>
    </row>
    <row r="1254" ht="27">
      <c r="D1254" s="141" t="s">
        <v>429</v>
      </c>
    </row>
    <row r="1255" ht="13.5">
      <c r="D1255" s="141" t="s">
        <v>430</v>
      </c>
    </row>
    <row r="1256" ht="27">
      <c r="D1256" s="141" t="s">
        <v>431</v>
      </c>
    </row>
    <row r="1257" ht="13.5">
      <c r="D1257" s="141" t="s">
        <v>432</v>
      </c>
    </row>
    <row r="1258" ht="27">
      <c r="D1258" s="141" t="s">
        <v>433</v>
      </c>
    </row>
    <row r="1259" ht="13.5">
      <c r="D1259" s="141" t="s">
        <v>434</v>
      </c>
    </row>
    <row r="1260" ht="27">
      <c r="D1260" s="141" t="s">
        <v>435</v>
      </c>
    </row>
    <row r="1261" ht="13.5">
      <c r="D1261" s="141" t="s">
        <v>295</v>
      </c>
    </row>
    <row r="1262" ht="27">
      <c r="D1262" s="141" t="s">
        <v>296</v>
      </c>
    </row>
    <row r="1263" ht="13.5">
      <c r="D1263" s="141" t="s">
        <v>297</v>
      </c>
    </row>
    <row r="1264" ht="27">
      <c r="D1264" s="141" t="s">
        <v>298</v>
      </c>
    </row>
    <row r="1265" ht="27">
      <c r="D1265" s="141" t="s">
        <v>299</v>
      </c>
    </row>
    <row r="1266" ht="27">
      <c r="D1266" s="141" t="s">
        <v>300</v>
      </c>
    </row>
    <row r="1267" ht="27">
      <c r="D1267" s="141" t="s">
        <v>301</v>
      </c>
    </row>
    <row r="1268" ht="13.5">
      <c r="D1268" s="141" t="s">
        <v>302</v>
      </c>
    </row>
    <row r="1269" ht="27">
      <c r="D1269" s="141" t="s">
        <v>303</v>
      </c>
    </row>
    <row r="1270" ht="13.5">
      <c r="D1270" s="141" t="s">
        <v>304</v>
      </c>
    </row>
    <row r="1271" ht="27">
      <c r="D1271" s="141" t="s">
        <v>1733</v>
      </c>
    </row>
    <row r="1272" ht="27">
      <c r="D1272" s="141" t="s">
        <v>1734</v>
      </c>
    </row>
    <row r="1273" ht="13.5">
      <c r="D1273" s="141" t="s">
        <v>1735</v>
      </c>
    </row>
    <row r="1274" ht="27">
      <c r="D1274" s="141" t="s">
        <v>1736</v>
      </c>
    </row>
    <row r="1275" ht="27">
      <c r="D1275" s="141" t="s">
        <v>1737</v>
      </c>
    </row>
    <row r="1276" ht="27">
      <c r="D1276" s="141" t="s">
        <v>1738</v>
      </c>
    </row>
    <row r="1277" ht="27">
      <c r="D1277" s="141" t="s">
        <v>1739</v>
      </c>
    </row>
    <row r="1278" ht="27">
      <c r="D1278" s="141" t="s">
        <v>1740</v>
      </c>
    </row>
    <row r="1279" ht="27">
      <c r="D1279" s="141" t="s">
        <v>1741</v>
      </c>
    </row>
    <row r="1280" ht="27">
      <c r="D1280" s="141" t="s">
        <v>1742</v>
      </c>
    </row>
    <row r="1281" ht="27">
      <c r="D1281" s="141" t="s">
        <v>1743</v>
      </c>
    </row>
    <row r="1282" ht="27">
      <c r="D1282" s="141" t="s">
        <v>1744</v>
      </c>
    </row>
    <row r="1283" ht="27">
      <c r="D1283" s="141" t="s">
        <v>198</v>
      </c>
    </row>
    <row r="1284" ht="27">
      <c r="D1284" s="141" t="s">
        <v>199</v>
      </c>
    </row>
    <row r="1285" ht="27">
      <c r="D1285" s="141" t="s">
        <v>200</v>
      </c>
    </row>
    <row r="1286" ht="27">
      <c r="D1286" s="141" t="s">
        <v>201</v>
      </c>
    </row>
    <row r="1287" ht="27">
      <c r="D1287" s="141" t="s">
        <v>202</v>
      </c>
    </row>
    <row r="1288" ht="27">
      <c r="D1288" s="141" t="s">
        <v>203</v>
      </c>
    </row>
    <row r="1289" ht="13.5">
      <c r="D1289" s="141" t="s">
        <v>204</v>
      </c>
    </row>
    <row r="1290" ht="13.5">
      <c r="D1290" s="141" t="s">
        <v>205</v>
      </c>
    </row>
    <row r="1291" ht="27">
      <c r="D1291" s="141" t="s">
        <v>206</v>
      </c>
    </row>
    <row r="1292" ht="13.5">
      <c r="D1292" s="141" t="s">
        <v>207</v>
      </c>
    </row>
    <row r="1293" ht="27">
      <c r="D1293" s="141" t="s">
        <v>208</v>
      </c>
    </row>
    <row r="1294" ht="13.5">
      <c r="D1294" s="141" t="s">
        <v>436</v>
      </c>
    </row>
    <row r="1295" ht="13.5">
      <c r="D1295" s="141" t="s">
        <v>437</v>
      </c>
    </row>
    <row r="1296" ht="27">
      <c r="D1296" s="141" t="s">
        <v>438</v>
      </c>
    </row>
    <row r="1297" ht="27">
      <c r="D1297" s="141" t="s">
        <v>439</v>
      </c>
    </row>
    <row r="1298" ht="13.5">
      <c r="D1298" s="141" t="s">
        <v>903</v>
      </c>
    </row>
    <row r="1299" ht="27">
      <c r="D1299" s="141" t="s">
        <v>904</v>
      </c>
    </row>
    <row r="1300" ht="27">
      <c r="D1300" s="141" t="s">
        <v>905</v>
      </c>
    </row>
    <row r="1301" ht="27">
      <c r="D1301" s="141" t="s">
        <v>906</v>
      </c>
    </row>
    <row r="1302" ht="27">
      <c r="D1302" s="141" t="s">
        <v>907</v>
      </c>
    </row>
    <row r="1303" ht="27">
      <c r="D1303" s="141" t="s">
        <v>908</v>
      </c>
    </row>
    <row r="1304" ht="27">
      <c r="D1304" s="141" t="s">
        <v>909</v>
      </c>
    </row>
    <row r="1305" ht="27">
      <c r="D1305" s="141" t="s">
        <v>910</v>
      </c>
    </row>
    <row r="1306" ht="27">
      <c r="D1306" s="141" t="s">
        <v>911</v>
      </c>
    </row>
    <row r="1307" ht="27">
      <c r="D1307" s="141" t="s">
        <v>912</v>
      </c>
    </row>
    <row r="1308" ht="27">
      <c r="D1308" s="141" t="s">
        <v>913</v>
      </c>
    </row>
    <row r="1309" ht="27">
      <c r="D1309" s="141" t="s">
        <v>914</v>
      </c>
    </row>
    <row r="1310" ht="27">
      <c r="D1310" s="141" t="s">
        <v>915</v>
      </c>
    </row>
    <row r="1311" ht="13.5">
      <c r="D1311" s="141" t="s">
        <v>916</v>
      </c>
    </row>
    <row r="1312" ht="13.5">
      <c r="D1312" s="141" t="s">
        <v>917</v>
      </c>
    </row>
    <row r="1313" ht="27">
      <c r="D1313" s="141" t="s">
        <v>918</v>
      </c>
    </row>
    <row r="1314" ht="27">
      <c r="D1314" s="141" t="s">
        <v>919</v>
      </c>
    </row>
    <row r="1315" ht="27">
      <c r="D1315" s="141" t="s">
        <v>920</v>
      </c>
    </row>
    <row r="1316" ht="27">
      <c r="D1316" s="141" t="s">
        <v>921</v>
      </c>
    </row>
    <row r="1317" ht="27">
      <c r="D1317" s="141" t="s">
        <v>922</v>
      </c>
    </row>
    <row r="1318" ht="27">
      <c r="D1318" s="141" t="s">
        <v>923</v>
      </c>
    </row>
    <row r="1319" ht="27">
      <c r="D1319" s="141" t="s">
        <v>242</v>
      </c>
    </row>
    <row r="1320" ht="27">
      <c r="D1320" s="141" t="s">
        <v>243</v>
      </c>
    </row>
    <row r="1321" ht="27">
      <c r="D1321" s="141" t="s">
        <v>244</v>
      </c>
    </row>
    <row r="1322" ht="27">
      <c r="D1322" s="141" t="s">
        <v>245</v>
      </c>
    </row>
    <row r="1323" ht="27">
      <c r="D1323" s="141" t="s">
        <v>246</v>
      </c>
    </row>
    <row r="1324" ht="27">
      <c r="D1324" s="141" t="s">
        <v>247</v>
      </c>
    </row>
    <row r="1325" ht="27">
      <c r="D1325" s="141" t="s">
        <v>248</v>
      </c>
    </row>
    <row r="1326" ht="27">
      <c r="D1326" s="141" t="s">
        <v>249</v>
      </c>
    </row>
    <row r="1327" ht="27">
      <c r="D1327" s="141" t="s">
        <v>250</v>
      </c>
    </row>
    <row r="1328" ht="27">
      <c r="D1328" s="141" t="s">
        <v>151</v>
      </c>
    </row>
    <row r="1329" ht="27">
      <c r="D1329" s="141" t="s">
        <v>152</v>
      </c>
    </row>
    <row r="1330" ht="27">
      <c r="D1330" s="141" t="s">
        <v>120</v>
      </c>
    </row>
    <row r="1331" ht="27">
      <c r="D1331" s="141" t="s">
        <v>121</v>
      </c>
    </row>
    <row r="1332" ht="27">
      <c r="D1332" s="141" t="s">
        <v>122</v>
      </c>
    </row>
    <row r="1333" ht="27">
      <c r="D1333" s="141" t="s">
        <v>123</v>
      </c>
    </row>
    <row r="1334" ht="27">
      <c r="D1334" s="141" t="s">
        <v>124</v>
      </c>
    </row>
    <row r="1335" ht="27">
      <c r="D1335" s="141" t="s">
        <v>125</v>
      </c>
    </row>
    <row r="1336" ht="27">
      <c r="D1336" s="141" t="s">
        <v>126</v>
      </c>
    </row>
    <row r="1337" ht="27">
      <c r="D1337" s="141" t="s">
        <v>127</v>
      </c>
    </row>
    <row r="1338" ht="27">
      <c r="D1338" s="141" t="s">
        <v>128</v>
      </c>
    </row>
    <row r="1339" ht="27">
      <c r="D1339" s="141" t="s">
        <v>129</v>
      </c>
    </row>
    <row r="1340" ht="27">
      <c r="D1340" s="141" t="s">
        <v>130</v>
      </c>
    </row>
    <row r="1341" ht="27">
      <c r="D1341" s="141" t="s">
        <v>131</v>
      </c>
    </row>
    <row r="1342" ht="27">
      <c r="D1342" s="141" t="s">
        <v>132</v>
      </c>
    </row>
    <row r="1343" ht="27">
      <c r="D1343" s="141" t="s">
        <v>133</v>
      </c>
    </row>
    <row r="1344" ht="27">
      <c r="D1344" s="141" t="s">
        <v>134</v>
      </c>
    </row>
    <row r="1345" ht="27">
      <c r="D1345" s="141" t="s">
        <v>135</v>
      </c>
    </row>
    <row r="1346" ht="27">
      <c r="D1346" s="141" t="s">
        <v>170</v>
      </c>
    </row>
    <row r="1347" ht="27">
      <c r="D1347" s="141" t="s">
        <v>171</v>
      </c>
    </row>
    <row r="1348" ht="27">
      <c r="D1348" s="141" t="s">
        <v>142</v>
      </c>
    </row>
    <row r="1349" ht="27">
      <c r="D1349" s="141" t="s">
        <v>1514</v>
      </c>
    </row>
    <row r="1350" ht="27">
      <c r="D1350" s="141" t="s">
        <v>1515</v>
      </c>
    </row>
    <row r="1351" ht="27">
      <c r="D1351" s="141" t="s">
        <v>67</v>
      </c>
    </row>
    <row r="1352" ht="13.5">
      <c r="D1352" s="141" t="s">
        <v>68</v>
      </c>
    </row>
    <row r="1353" ht="13.5">
      <c r="D1353" s="141" t="s">
        <v>69</v>
      </c>
    </row>
    <row r="1354" ht="27">
      <c r="D1354" s="141" t="s">
        <v>70</v>
      </c>
    </row>
    <row r="1355" ht="27">
      <c r="D1355" s="141" t="s">
        <v>1621</v>
      </c>
    </row>
    <row r="1356" ht="27">
      <c r="D1356" s="141" t="s">
        <v>1622</v>
      </c>
    </row>
    <row r="1357" ht="27">
      <c r="D1357" s="141" t="s">
        <v>1623</v>
      </c>
    </row>
    <row r="1358" ht="27">
      <c r="D1358" s="141" t="s">
        <v>1624</v>
      </c>
    </row>
    <row r="1359" ht="27">
      <c r="D1359" s="141" t="s">
        <v>1625</v>
      </c>
    </row>
    <row r="1360" ht="27">
      <c r="D1360" s="141" t="s">
        <v>938</v>
      </c>
    </row>
    <row r="1361" ht="27">
      <c r="D1361" s="141" t="s">
        <v>939</v>
      </c>
    </row>
    <row r="1362" ht="27">
      <c r="D1362" s="141" t="s">
        <v>940</v>
      </c>
    </row>
    <row r="1363" ht="13.5">
      <c r="D1363" s="141" t="s">
        <v>941</v>
      </c>
    </row>
    <row r="1364" ht="27">
      <c r="D1364" s="141" t="s">
        <v>942</v>
      </c>
    </row>
    <row r="1365" ht="27">
      <c r="D1365" s="141" t="s">
        <v>943</v>
      </c>
    </row>
    <row r="1366" ht="27">
      <c r="D1366" s="141" t="s">
        <v>944</v>
      </c>
    </row>
    <row r="1367" ht="27">
      <c r="D1367" s="141" t="s">
        <v>1661</v>
      </c>
    </row>
    <row r="1368" ht="27">
      <c r="D1368" s="141" t="s">
        <v>1662</v>
      </c>
    </row>
    <row r="1369" ht="27">
      <c r="D1369" s="141" t="s">
        <v>1663</v>
      </c>
    </row>
    <row r="1370" ht="27">
      <c r="D1370" s="141" t="s">
        <v>1664</v>
      </c>
    </row>
    <row r="1371" ht="27">
      <c r="D1371" s="141" t="s">
        <v>1655</v>
      </c>
    </row>
    <row r="1372" ht="27">
      <c r="D1372" s="141" t="s">
        <v>1656</v>
      </c>
    </row>
  </sheetData>
  <sheetProtection/>
  <dataValidations count="1">
    <dataValidation type="list" allowBlank="1" showInputMessage="1" showErrorMessage="1" errorTitle="Invalid Response" error="Answer must be YES, NO, or NA &#10;(all caps)&#10;" sqref="D2:D20">
      <formula1>"YES,NO,NA"</formula1>
    </dataValidation>
  </dataValidations>
  <printOptions/>
  <pageMargins left="0.75" right="0.75" top="1" bottom="1" header="0.5" footer="0.5"/>
  <pageSetup fitToHeight="4" fitToWidth="1" horizontalDpi="600" verticalDpi="600" orientation="landscape" scale="85" r:id="rId3"/>
  <legacyDrawing r:id="rId2"/>
</worksheet>
</file>

<file path=xl/worksheets/sheet7.xml><?xml version="1.0" encoding="utf-8"?>
<worksheet xmlns="http://schemas.openxmlformats.org/spreadsheetml/2006/main" xmlns:r="http://schemas.openxmlformats.org/officeDocument/2006/relationships">
  <sheetPr codeName="Sheet8"/>
  <dimension ref="A1:A30"/>
  <sheetViews>
    <sheetView workbookViewId="0" topLeftCell="A1">
      <selection activeCell="A2" sqref="A2:A30"/>
    </sheetView>
  </sheetViews>
  <sheetFormatPr defaultColWidth="9.140625" defaultRowHeight="12.75"/>
  <cols>
    <col min="1" max="1" width="41.421875" style="0" bestFit="1" customWidth="1"/>
  </cols>
  <sheetData>
    <row r="1" ht="12.75">
      <c r="A1" s="22" t="s">
        <v>599</v>
      </c>
    </row>
    <row r="2" ht="12.75">
      <c r="A2" t="s">
        <v>600</v>
      </c>
    </row>
    <row r="3" ht="12.75">
      <c r="A3" t="s">
        <v>601</v>
      </c>
    </row>
    <row r="4" ht="12.75">
      <c r="A4" t="s">
        <v>1516</v>
      </c>
    </row>
    <row r="5" ht="12.75">
      <c r="A5" t="s">
        <v>1517</v>
      </c>
    </row>
    <row r="6" ht="12.75">
      <c r="A6" t="s">
        <v>1518</v>
      </c>
    </row>
    <row r="7" ht="12.75">
      <c r="A7" t="s">
        <v>1519</v>
      </c>
    </row>
    <row r="8" ht="12.75">
      <c r="A8" t="s">
        <v>1520</v>
      </c>
    </row>
    <row r="9" ht="12.75">
      <c r="A9" t="s">
        <v>1521</v>
      </c>
    </row>
    <row r="10" ht="12.75">
      <c r="A10" t="s">
        <v>1522</v>
      </c>
    </row>
    <row r="11" ht="12.75">
      <c r="A11" t="s">
        <v>1523</v>
      </c>
    </row>
    <row r="12" ht="12.75">
      <c r="A12" t="s">
        <v>1524</v>
      </c>
    </row>
    <row r="13" ht="12.75">
      <c r="A13" t="s">
        <v>1525</v>
      </c>
    </row>
    <row r="14" ht="12.75">
      <c r="A14" t="s">
        <v>1526</v>
      </c>
    </row>
    <row r="15" ht="12.75">
      <c r="A15" t="s">
        <v>1527</v>
      </c>
    </row>
    <row r="16" ht="12.75">
      <c r="A16" t="s">
        <v>1528</v>
      </c>
    </row>
    <row r="17" ht="12.75">
      <c r="A17" t="s">
        <v>1529</v>
      </c>
    </row>
    <row r="18" ht="12.75">
      <c r="A18" t="s">
        <v>1530</v>
      </c>
    </row>
    <row r="19" ht="12.75">
      <c r="A19" t="s">
        <v>357</v>
      </c>
    </row>
    <row r="20" ht="12.75">
      <c r="A20" t="s">
        <v>358</v>
      </c>
    </row>
    <row r="21" ht="12.75">
      <c r="A21" t="s">
        <v>359</v>
      </c>
    </row>
    <row r="22" ht="12.75">
      <c r="A22" t="s">
        <v>360</v>
      </c>
    </row>
    <row r="23" ht="12.75">
      <c r="A23" t="s">
        <v>361</v>
      </c>
    </row>
    <row r="24" ht="12.75">
      <c r="A24" t="s">
        <v>362</v>
      </c>
    </row>
    <row r="25" ht="12.75">
      <c r="A25" t="s">
        <v>363</v>
      </c>
    </row>
    <row r="26" ht="12.75">
      <c r="A26" t="s">
        <v>368</v>
      </c>
    </row>
    <row r="27" ht="12.75">
      <c r="A27" t="s">
        <v>364</v>
      </c>
    </row>
    <row r="28" ht="12.75">
      <c r="A28" t="s">
        <v>365</v>
      </c>
    </row>
    <row r="29" ht="12.75">
      <c r="A29" t="s">
        <v>366</v>
      </c>
    </row>
    <row r="30" ht="12.75">
      <c r="A30" t="s">
        <v>367</v>
      </c>
    </row>
  </sheetData>
  <sheetProtection password="E597" sheet="1" objects="1" scenarios="1"/>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2"/>
  <dimension ref="A1:BJ13"/>
  <sheetViews>
    <sheetView workbookViewId="0" topLeftCell="A1">
      <selection activeCell="E25" sqref="E25"/>
    </sheetView>
  </sheetViews>
  <sheetFormatPr defaultColWidth="9.140625" defaultRowHeight="12.75"/>
  <cols>
    <col min="1" max="16384" width="15.57421875" style="25" customWidth="1"/>
  </cols>
  <sheetData>
    <row r="1" spans="30:62" ht="12">
      <c r="AD1" s="277" t="s">
        <v>266</v>
      </c>
      <c r="AE1" s="277"/>
      <c r="AF1" s="277" t="s">
        <v>272</v>
      </c>
      <c r="AG1" s="277"/>
      <c r="AH1" s="277"/>
      <c r="AI1" s="277"/>
      <c r="AJ1" s="277"/>
      <c r="AK1" s="277"/>
      <c r="AL1" s="277"/>
      <c r="AM1" s="277" t="s">
        <v>273</v>
      </c>
      <c r="AN1" s="277"/>
      <c r="AO1" s="277"/>
      <c r="AP1" s="277"/>
      <c r="AQ1" s="277" t="s">
        <v>274</v>
      </c>
      <c r="AR1" s="277"/>
      <c r="AS1" s="277"/>
      <c r="AT1" s="277" t="s">
        <v>275</v>
      </c>
      <c r="AU1" s="277"/>
      <c r="AV1" s="277"/>
      <c r="AW1" s="277"/>
      <c r="AX1" s="277"/>
      <c r="AY1" s="277"/>
      <c r="AZ1" s="277"/>
      <c r="BA1" s="277"/>
      <c r="BB1" s="277" t="s">
        <v>276</v>
      </c>
      <c r="BC1" s="277"/>
      <c r="BD1" s="277"/>
      <c r="BE1" s="277"/>
      <c r="BF1" s="277"/>
      <c r="BG1" s="277"/>
      <c r="BH1" s="277"/>
      <c r="BI1" s="277"/>
      <c r="BJ1" s="277"/>
    </row>
    <row r="2" spans="2:62" ht="12">
      <c r="B2" s="25" t="s">
        <v>267</v>
      </c>
      <c r="C2" s="25" t="s">
        <v>268</v>
      </c>
      <c r="D2" s="25" t="s">
        <v>269</v>
      </c>
      <c r="E2" s="25" t="s">
        <v>270</v>
      </c>
      <c r="F2" s="25">
        <v>1.1</v>
      </c>
      <c r="G2" s="25">
        <v>1.2</v>
      </c>
      <c r="H2" s="25">
        <v>1.3</v>
      </c>
      <c r="I2" s="25">
        <v>1.4</v>
      </c>
      <c r="J2" s="25">
        <v>1.5</v>
      </c>
      <c r="K2" s="25">
        <v>2.1</v>
      </c>
      <c r="L2" s="25">
        <v>2.2</v>
      </c>
      <c r="M2" s="25">
        <v>2.3</v>
      </c>
      <c r="N2" s="25">
        <v>2.4</v>
      </c>
      <c r="O2" s="25">
        <v>2.5</v>
      </c>
      <c r="P2" s="25">
        <v>2.6</v>
      </c>
      <c r="Q2" s="25">
        <v>2.7</v>
      </c>
      <c r="R2" s="25">
        <v>3.1</v>
      </c>
      <c r="S2" s="25">
        <v>3.2</v>
      </c>
      <c r="T2" s="25">
        <v>3.3</v>
      </c>
      <c r="U2" s="25">
        <v>3.4</v>
      </c>
      <c r="V2" s="25">
        <v>3.5</v>
      </c>
      <c r="W2" s="25">
        <v>3.6</v>
      </c>
      <c r="X2" s="25">
        <v>3.7</v>
      </c>
      <c r="Y2" s="25">
        <v>4.1</v>
      </c>
      <c r="Z2" s="25">
        <v>4.2</v>
      </c>
      <c r="AA2" s="25">
        <v>4.3</v>
      </c>
      <c r="AB2" s="25">
        <v>4.4</v>
      </c>
      <c r="AC2" s="25">
        <v>4.5</v>
      </c>
      <c r="AD2" s="25">
        <v>3.11</v>
      </c>
      <c r="AE2" s="25">
        <v>3.12</v>
      </c>
      <c r="AF2" s="25">
        <v>2.21</v>
      </c>
      <c r="AG2" s="25">
        <v>2.22</v>
      </c>
      <c r="AH2" s="25">
        <v>3.21</v>
      </c>
      <c r="AI2" s="25">
        <v>3.22</v>
      </c>
      <c r="AJ2" s="25">
        <v>3.23</v>
      </c>
      <c r="AK2" s="25">
        <v>3.24</v>
      </c>
      <c r="AL2" s="25">
        <v>4.21</v>
      </c>
      <c r="AM2" s="25">
        <v>3.31</v>
      </c>
      <c r="AN2" s="25">
        <v>3.32</v>
      </c>
      <c r="AO2" s="25">
        <v>3.33</v>
      </c>
      <c r="AP2" s="25">
        <v>3.34</v>
      </c>
      <c r="AQ2" s="25">
        <v>3.41</v>
      </c>
      <c r="AR2" s="25">
        <v>3.42</v>
      </c>
      <c r="AS2" s="25">
        <v>3.43</v>
      </c>
      <c r="AT2" s="25">
        <v>2.61</v>
      </c>
      <c r="AU2" s="25">
        <v>3.61</v>
      </c>
      <c r="AV2" s="25">
        <v>3.62</v>
      </c>
      <c r="AW2" s="25">
        <v>3.63</v>
      </c>
      <c r="AX2" s="25">
        <v>3.64</v>
      </c>
      <c r="AY2" s="25">
        <v>3.65</v>
      </c>
      <c r="AZ2" s="25">
        <v>3.66</v>
      </c>
      <c r="BA2" s="25">
        <v>4.61</v>
      </c>
      <c r="BB2" s="25">
        <v>1.71</v>
      </c>
      <c r="BC2" s="25">
        <v>1.72</v>
      </c>
      <c r="BD2" s="25">
        <v>2.71</v>
      </c>
      <c r="BE2" s="25">
        <v>2.72</v>
      </c>
      <c r="BF2" s="25">
        <v>3.71</v>
      </c>
      <c r="BG2" s="25">
        <v>3.72</v>
      </c>
      <c r="BH2" s="25">
        <v>3.73</v>
      </c>
      <c r="BI2" s="25">
        <v>3.74</v>
      </c>
      <c r="BJ2" s="25">
        <v>4.71</v>
      </c>
    </row>
    <row r="3" spans="1:62" ht="48">
      <c r="A3" s="25" t="s">
        <v>277</v>
      </c>
      <c r="B3" s="25" t="str">
        <f>Program_Name</f>
        <v>Low Income Home Energy Assistance Program</v>
      </c>
      <c r="C3" s="25" t="str">
        <f>Program_Type_Primary</f>
        <v>Block/Formula</v>
      </c>
      <c r="D3" s="26">
        <f>Program_Type_Secondary</f>
        <v>0</v>
      </c>
      <c r="E3" s="26">
        <f>Program_Type_Tertiary</f>
        <v>0</v>
      </c>
      <c r="F3" s="26" t="str">
        <f>Ans_1.1</f>
        <v>YES</v>
      </c>
      <c r="G3" s="26" t="str">
        <f>Ans_1.2</f>
        <v>YES</v>
      </c>
      <c r="H3" s="26" t="str">
        <f>Ans_1.3</f>
        <v>YES</v>
      </c>
      <c r="I3" s="26" t="str">
        <f>Ans_1.4</f>
        <v>NO</v>
      </c>
      <c r="J3" s="26" t="str">
        <f>Ans_1.5</f>
        <v>YES</v>
      </c>
      <c r="K3" s="26" t="str">
        <f>Ans_2.1</f>
        <v>YES</v>
      </c>
      <c r="L3" s="26" t="str">
        <f>Ans_2.2</f>
        <v>NO</v>
      </c>
      <c r="M3" s="26" t="str">
        <f>Ans_2.3</f>
        <v>YES</v>
      </c>
      <c r="N3" s="26" t="str">
        <f>Ans_2.4</f>
        <v>NO</v>
      </c>
      <c r="O3" s="26" t="str">
        <f>Ans_2.5</f>
        <v>YES</v>
      </c>
      <c r="P3" s="26" t="str">
        <f>Ans_2.6</f>
        <v>NO</v>
      </c>
      <c r="Q3" s="26" t="str">
        <f>Ans_2.7</f>
        <v>NO</v>
      </c>
      <c r="R3" s="26" t="str">
        <f>Ans_3.1</f>
        <v>YES</v>
      </c>
      <c r="S3" s="26" t="str">
        <f>Ans_3.2</f>
        <v>YES</v>
      </c>
      <c r="T3" s="26" t="str">
        <f>Ans_3.3</f>
        <v>YES</v>
      </c>
      <c r="U3" s="26" t="str">
        <f>Ans_3.4</f>
        <v>NO</v>
      </c>
      <c r="V3" s="26" t="str">
        <f>Ans_3.5</f>
        <v>YES</v>
      </c>
      <c r="W3" s="26" t="str">
        <f>Ans_3.6</f>
        <v>YES</v>
      </c>
      <c r="X3" s="26" t="str">
        <f>Ans_3.7</f>
        <v>NO</v>
      </c>
      <c r="Y3" s="26" t="str">
        <f>Ans_4.1</f>
        <v>SMALL EXTENT</v>
      </c>
      <c r="Z3" s="26" t="str">
        <f>Ans_4.2</f>
        <v>NO</v>
      </c>
      <c r="AA3" s="26" t="str">
        <f>Ans_4.3</f>
        <v>SMALL EXTENT</v>
      </c>
      <c r="AB3" s="26" t="str">
        <f>Ans_4.4</f>
        <v>NA</v>
      </c>
      <c r="AC3" s="26" t="str">
        <f>Ans_4.5</f>
        <v>NO</v>
      </c>
      <c r="AD3" s="26" t="e">
        <f>Ans_3.11</f>
        <v>#NAME?</v>
      </c>
      <c r="AE3" s="26" t="e">
        <f>Ans_3.12</f>
        <v>#NAME?</v>
      </c>
      <c r="AF3" s="26" t="e">
        <f>Ans_2.21</f>
        <v>#NAME?</v>
      </c>
      <c r="AG3" s="26" t="e">
        <f>Ans_2.22</f>
        <v>#NAME?</v>
      </c>
      <c r="AH3" s="26" t="e">
        <f>Ans_3.21</f>
        <v>#NAME?</v>
      </c>
      <c r="AI3" s="26" t="e">
        <f>Ans_3.22</f>
        <v>#NAME?</v>
      </c>
      <c r="AJ3" s="26" t="e">
        <f>Ans_3.23</f>
        <v>#NAME?</v>
      </c>
      <c r="AK3" s="26" t="e">
        <f>Ans_3.24</f>
        <v>#NAME?</v>
      </c>
      <c r="AL3" s="26" t="e">
        <f>Ans_4.21</f>
        <v>#NAME?</v>
      </c>
      <c r="AM3" s="26" t="e">
        <f>Ans_3.31</f>
        <v>#NAME?</v>
      </c>
      <c r="AN3" s="26" t="e">
        <f>Ans_3.32</f>
        <v>#NAME?</v>
      </c>
      <c r="AO3" s="26" t="e">
        <f>Ans_3.33</f>
        <v>#NAME?</v>
      </c>
      <c r="AP3" s="26" t="e">
        <f>Ans_3.34</f>
        <v>#NAME?</v>
      </c>
      <c r="AQ3" s="26" t="e">
        <f>Ans_3.41</f>
        <v>#NAME?</v>
      </c>
      <c r="AR3" s="26" t="e">
        <f>Ans_3.42</f>
        <v>#NAME?</v>
      </c>
      <c r="AS3" s="26" t="e">
        <f>Ans_3.43</f>
        <v>#NAME?</v>
      </c>
      <c r="AT3" s="26" t="e">
        <f>Ans_2.61</f>
        <v>#NAME?</v>
      </c>
      <c r="AU3" s="26" t="e">
        <f>Ans_3.61</f>
        <v>#NAME?</v>
      </c>
      <c r="AV3" s="26" t="e">
        <f>Ans_3.62</f>
        <v>#NAME?</v>
      </c>
      <c r="AW3" s="26" t="e">
        <f>Ans_3.63</f>
        <v>#NAME?</v>
      </c>
      <c r="AX3" s="26" t="e">
        <f>Ans_3.64</f>
        <v>#NAME?</v>
      </c>
      <c r="AY3" s="26" t="e">
        <f>Ans_3.65</f>
        <v>#NAME?</v>
      </c>
      <c r="AZ3" s="26" t="e">
        <f>Ans_3.66</f>
        <v>#NAME?</v>
      </c>
      <c r="BA3" s="26" t="e">
        <f>Ans_4.61</f>
        <v>#NAME?</v>
      </c>
      <c r="BB3" s="26" t="e">
        <f>Ans_1.71</f>
        <v>#NAME?</v>
      </c>
      <c r="BC3" s="26" t="e">
        <f>Ans_1.72</f>
        <v>#NAME?</v>
      </c>
      <c r="BD3" s="26" t="e">
        <f>Ans_2.71</f>
        <v>#NAME?</v>
      </c>
      <c r="BE3" s="26" t="e">
        <f>Ans_2.72</f>
        <v>#NAME?</v>
      </c>
      <c r="BF3" s="26" t="e">
        <f>Ans_3.71</f>
        <v>#NAME?</v>
      </c>
      <c r="BG3" s="26" t="e">
        <f>Ans_3.72</f>
        <v>#NAME?</v>
      </c>
      <c r="BH3" s="26" t="e">
        <f>Ans_3.73</f>
        <v>#NAME?</v>
      </c>
      <c r="BI3" s="26" t="e">
        <f>Ans_3.74</f>
        <v>#NAME?</v>
      </c>
      <c r="BJ3" s="26" t="e">
        <f>Ans_4.71</f>
        <v>#NAME?</v>
      </c>
    </row>
    <row r="4" spans="1:62" ht="48">
      <c r="A4" s="25" t="s">
        <v>278</v>
      </c>
      <c r="B4" s="25" t="str">
        <f>+B3</f>
        <v>Low Income Home Energy Assistance Program</v>
      </c>
      <c r="C4" s="25" t="str">
        <f>+C3</f>
        <v>Block/Formula</v>
      </c>
      <c r="D4" s="26">
        <f>+D3</f>
        <v>0</v>
      </c>
      <c r="E4" s="26">
        <f>+E3</f>
        <v>0</v>
      </c>
      <c r="F4" s="25">
        <f>IF(F3="YES",1,(IF(F3="NO",0,(IF(F3="NA",F3," ")))))</f>
        <v>1</v>
      </c>
      <c r="G4" s="25">
        <f aca="true" t="shared" si="0" ref="G4:X4">IF(G3="YES",1,(IF(G3="NO",0,(IF(G3="NA",G3," ")))))</f>
        <v>1</v>
      </c>
      <c r="H4" s="25">
        <f t="shared" si="0"/>
        <v>1</v>
      </c>
      <c r="I4" s="25">
        <f t="shared" si="0"/>
        <v>0</v>
      </c>
      <c r="J4" s="25">
        <f t="shared" si="0"/>
        <v>1</v>
      </c>
      <c r="K4" s="25">
        <f t="shared" si="0"/>
        <v>1</v>
      </c>
      <c r="L4" s="25">
        <f t="shared" si="0"/>
        <v>0</v>
      </c>
      <c r="M4" s="25">
        <f t="shared" si="0"/>
        <v>1</v>
      </c>
      <c r="N4" s="25">
        <f t="shared" si="0"/>
        <v>0</v>
      </c>
      <c r="O4" s="25">
        <f t="shared" si="0"/>
        <v>1</v>
      </c>
      <c r="P4" s="25">
        <f t="shared" si="0"/>
        <v>0</v>
      </c>
      <c r="Q4" s="25">
        <f t="shared" si="0"/>
        <v>0</v>
      </c>
      <c r="R4" s="25">
        <f t="shared" si="0"/>
        <v>1</v>
      </c>
      <c r="S4" s="25">
        <f t="shared" si="0"/>
        <v>1</v>
      </c>
      <c r="T4" s="25">
        <f t="shared" si="0"/>
        <v>1</v>
      </c>
      <c r="U4" s="25">
        <f t="shared" si="0"/>
        <v>0</v>
      </c>
      <c r="V4" s="25">
        <f t="shared" si="0"/>
        <v>1</v>
      </c>
      <c r="W4" s="25">
        <f t="shared" si="0"/>
        <v>1</v>
      </c>
      <c r="X4" s="25">
        <f t="shared" si="0"/>
        <v>0</v>
      </c>
      <c r="Y4" s="25">
        <f>IF(Y3="YES",1,(IF(Y3="NO",0,(IF(Y3="SMALL EXTENT",0.3,(IF(Y3="LARGE EXTENT",0.7,"")))))))</f>
        <v>0.3</v>
      </c>
      <c r="Z4" s="25">
        <f>IF(Z3="YES",1,(IF(Z3="NO",0,(IF(Z3="SMALL EXTENT",0.3,(IF(Z3="LARGE EXTENT",0.7,"")))))))</f>
        <v>0</v>
      </c>
      <c r="AA4" s="25">
        <f>IF(AA3="YES",1,(IF(AA3="NO",0,(IF(AA3="SMALL EXTENT",0.3,(IF(AA3="LARGE EXTENT",0.7,"")))))))</f>
        <v>0.3</v>
      </c>
      <c r="AB4" s="25">
        <f>IF(AB3="YES",1,(IF(AB3="NO",0,(IF(AB3="SMALL EXTENT",0.3,(IF(AB3="LARGE EXTENT",0.7,"")))))))</f>
      </c>
      <c r="AC4" s="25">
        <f>IF(AC3="YES",1,(IF(AC3="NO",0,(IF(AC3="SMALL EXTENT",0.3,(IF(AC3="LARGE EXTENT",0.7,"")))))))</f>
        <v>0</v>
      </c>
      <c r="AD4" s="25" t="e">
        <f aca="true" t="shared" si="1" ref="AD4:BJ4">IF(AD3="YES",1,(IF(AD3="NO",0,(IF(AD3="SMALL EXTENT",0.3,(IF(AD3="LARGE EXTENT",0.7,"")))))))</f>
        <v>#NAME?</v>
      </c>
      <c r="AE4" s="25" t="e">
        <f t="shared" si="1"/>
        <v>#NAME?</v>
      </c>
      <c r="AF4" s="25" t="e">
        <f t="shared" si="1"/>
        <v>#NAME?</v>
      </c>
      <c r="AG4" s="25" t="e">
        <f t="shared" si="1"/>
        <v>#NAME?</v>
      </c>
      <c r="AH4" s="25" t="e">
        <f t="shared" si="1"/>
        <v>#NAME?</v>
      </c>
      <c r="AI4" s="25" t="e">
        <f t="shared" si="1"/>
        <v>#NAME?</v>
      </c>
      <c r="AJ4" s="25" t="e">
        <f t="shared" si="1"/>
        <v>#NAME?</v>
      </c>
      <c r="AK4" s="25" t="e">
        <f t="shared" si="1"/>
        <v>#NAME?</v>
      </c>
      <c r="AL4" s="25" t="e">
        <f t="shared" si="1"/>
        <v>#NAME?</v>
      </c>
      <c r="AM4" s="25" t="e">
        <f t="shared" si="1"/>
        <v>#NAME?</v>
      </c>
      <c r="AN4" s="25" t="e">
        <f t="shared" si="1"/>
        <v>#NAME?</v>
      </c>
      <c r="AO4" s="25" t="e">
        <f t="shared" si="1"/>
        <v>#NAME?</v>
      </c>
      <c r="AP4" s="25" t="e">
        <f t="shared" si="1"/>
        <v>#NAME?</v>
      </c>
      <c r="AQ4" s="25" t="e">
        <f t="shared" si="1"/>
        <v>#NAME?</v>
      </c>
      <c r="AR4" s="25" t="e">
        <f t="shared" si="1"/>
        <v>#NAME?</v>
      </c>
      <c r="AS4" s="25" t="e">
        <f t="shared" si="1"/>
        <v>#NAME?</v>
      </c>
      <c r="AT4" s="25" t="e">
        <f t="shared" si="1"/>
        <v>#NAME?</v>
      </c>
      <c r="AU4" s="25" t="e">
        <f t="shared" si="1"/>
        <v>#NAME?</v>
      </c>
      <c r="AV4" s="25" t="e">
        <f t="shared" si="1"/>
        <v>#NAME?</v>
      </c>
      <c r="AW4" s="25" t="e">
        <f t="shared" si="1"/>
        <v>#NAME?</v>
      </c>
      <c r="AX4" s="25" t="e">
        <f t="shared" si="1"/>
        <v>#NAME?</v>
      </c>
      <c r="AY4" s="25" t="e">
        <f t="shared" si="1"/>
        <v>#NAME?</v>
      </c>
      <c r="AZ4" s="25" t="e">
        <f t="shared" si="1"/>
        <v>#NAME?</v>
      </c>
      <c r="BA4" s="25" t="e">
        <f t="shared" si="1"/>
        <v>#NAME?</v>
      </c>
      <c r="BB4" s="25" t="e">
        <f t="shared" si="1"/>
        <v>#NAME?</v>
      </c>
      <c r="BC4" s="25" t="e">
        <f t="shared" si="1"/>
        <v>#NAME?</v>
      </c>
      <c r="BD4" s="25" t="e">
        <f t="shared" si="1"/>
        <v>#NAME?</v>
      </c>
      <c r="BE4" s="25" t="e">
        <f t="shared" si="1"/>
        <v>#NAME?</v>
      </c>
      <c r="BF4" s="25" t="e">
        <f t="shared" si="1"/>
        <v>#NAME?</v>
      </c>
      <c r="BG4" s="25" t="e">
        <f t="shared" si="1"/>
        <v>#NAME?</v>
      </c>
      <c r="BH4" s="25" t="e">
        <f t="shared" si="1"/>
        <v>#NAME?</v>
      </c>
      <c r="BI4" s="25" t="e">
        <f t="shared" si="1"/>
        <v>#NAME?</v>
      </c>
      <c r="BJ4" s="25" t="e">
        <f t="shared" si="1"/>
        <v>#NAME?</v>
      </c>
    </row>
    <row r="5" spans="1:29" s="28" customFormat="1" ht="12">
      <c r="A5" s="25"/>
      <c r="B5" s="25"/>
      <c r="C5" s="25"/>
      <c r="D5" s="26"/>
      <c r="E5" s="26"/>
      <c r="F5" s="25"/>
      <c r="G5" s="25"/>
      <c r="H5" s="25"/>
      <c r="I5" s="25"/>
      <c r="J5" s="25"/>
      <c r="K5" s="25"/>
      <c r="L5" s="25"/>
      <c r="M5" s="25"/>
      <c r="N5" s="25"/>
      <c r="O5" s="25"/>
      <c r="P5" s="25"/>
      <c r="Q5" s="25"/>
      <c r="R5" s="25"/>
      <c r="S5" s="25"/>
      <c r="T5" s="25"/>
      <c r="U5" s="25"/>
      <c r="V5" s="25"/>
      <c r="W5" s="25"/>
      <c r="X5" s="25"/>
      <c r="Y5" s="25"/>
      <c r="Z5" s="25"/>
      <c r="AA5" s="25"/>
      <c r="AB5" s="25"/>
      <c r="AC5" s="25"/>
    </row>
    <row r="6" spans="1:62" s="28" customFormat="1" ht="48">
      <c r="A6" s="25" t="s">
        <v>407</v>
      </c>
      <c r="B6" s="25" t="str">
        <f>Program_Name</f>
        <v>Low Income Home Energy Assistance Program</v>
      </c>
      <c r="C6" s="25" t="str">
        <f>Program_Type_Primary</f>
        <v>Block/Formula</v>
      </c>
      <c r="D6" s="26">
        <f>Program_Type_Secondary</f>
        <v>0</v>
      </c>
      <c r="E6" s="26">
        <f>Program_Type_Tertiary</f>
        <v>0</v>
      </c>
      <c r="F6" s="25">
        <f>Weight_1.1</f>
        <v>0.2</v>
      </c>
      <c r="G6" s="25">
        <f>Weight_1.2</f>
        <v>0.2</v>
      </c>
      <c r="H6" s="25">
        <f>Weight_1.3</f>
        <v>0.2</v>
      </c>
      <c r="I6" s="25">
        <f>Weight_1.4</f>
        <v>0.2</v>
      </c>
      <c r="J6" s="25">
        <f>Weight_1.5</f>
        <v>0.2</v>
      </c>
      <c r="K6" s="25">
        <f>Weight_2.1</f>
        <v>0.125</v>
      </c>
      <c r="L6" s="25">
        <f>Weight_2.2</f>
        <v>0.125</v>
      </c>
      <c r="M6" s="25">
        <f>Weight_2.3</f>
        <v>0.125</v>
      </c>
      <c r="N6" s="25">
        <f>Weight_2.4</f>
        <v>0.125</v>
      </c>
      <c r="O6" s="25">
        <f>Weight_2.5</f>
        <v>0.125</v>
      </c>
      <c r="P6" s="25">
        <f>Weight_2.6</f>
        <v>0.125</v>
      </c>
      <c r="Q6" s="25">
        <f>Weight_2.7</f>
        <v>0.125</v>
      </c>
      <c r="R6" s="25">
        <f>Weight_3.1</f>
        <v>0.1111111111111111</v>
      </c>
      <c r="S6" s="25">
        <f>Weight_3.2</f>
        <v>0.1111111111111111</v>
      </c>
      <c r="T6" s="25">
        <f>Weight_3.3</f>
        <v>0.1111111111111111</v>
      </c>
      <c r="U6" s="25">
        <f>Weight_3.4</f>
        <v>0.1111111111111111</v>
      </c>
      <c r="V6" s="25">
        <f>Weight_3.5</f>
        <v>0.1111111111111111</v>
      </c>
      <c r="W6" s="25">
        <f>Weight_3.6</f>
        <v>0.1111111111111111</v>
      </c>
      <c r="X6" s="25">
        <f>Weight_3.7</f>
        <v>0.1111111111111111</v>
      </c>
      <c r="Y6" s="25">
        <f>Weight_4.1</f>
        <v>0.25</v>
      </c>
      <c r="Z6" s="25">
        <f>Weight_4.2</f>
        <v>0.25</v>
      </c>
      <c r="AA6" s="25">
        <f>Weight_4.3</f>
        <v>0.25</v>
      </c>
      <c r="AB6" s="25">
        <f>Weight_4.4</f>
        <v>0</v>
      </c>
      <c r="AC6" s="25">
        <f>Weight_4.5</f>
        <v>0.25</v>
      </c>
      <c r="AD6" s="29" t="e">
        <f>Weight_3.11</f>
        <v>#NAME?</v>
      </c>
      <c r="AE6" s="29" t="e">
        <f>Weight_3.12</f>
        <v>#NAME?</v>
      </c>
      <c r="AF6" s="29" t="e">
        <f>Weight_2.21</f>
        <v>#NAME?</v>
      </c>
      <c r="AG6" s="29" t="e">
        <f>Weight_2.22</f>
        <v>#NAME?</v>
      </c>
      <c r="AH6" s="29" t="e">
        <f>Weight_3.21</f>
        <v>#NAME?</v>
      </c>
      <c r="AI6" s="29" t="e">
        <f>Weight_3.22</f>
        <v>#NAME?</v>
      </c>
      <c r="AJ6" s="29" t="e">
        <f>Weight_3.23</f>
        <v>#NAME?</v>
      </c>
      <c r="AK6" s="29" t="e">
        <f>Weight_3.24</f>
        <v>#NAME?</v>
      </c>
      <c r="AL6" s="29" t="e">
        <f>Weight_4.21</f>
        <v>#NAME?</v>
      </c>
      <c r="AM6" s="29" t="e">
        <f>Weight_3.31</f>
        <v>#NAME?</v>
      </c>
      <c r="AN6" s="29" t="e">
        <f>Weight_3.32</f>
        <v>#NAME?</v>
      </c>
      <c r="AO6" s="29" t="e">
        <f>Weight_3.33</f>
        <v>#NAME?</v>
      </c>
      <c r="AP6" s="29" t="e">
        <f>Weight_3.34</f>
        <v>#NAME?</v>
      </c>
      <c r="AQ6" s="29" t="e">
        <f>Weight_3.41</f>
        <v>#NAME?</v>
      </c>
      <c r="AR6" s="29" t="e">
        <f>Weight_3.42</f>
        <v>#NAME?</v>
      </c>
      <c r="AS6" s="29" t="e">
        <f>Weight_3.43</f>
        <v>#NAME?</v>
      </c>
      <c r="AT6" s="29" t="e">
        <f>Weight_2.61</f>
        <v>#NAME?</v>
      </c>
      <c r="AU6" s="29" t="e">
        <f>Weight_3.61</f>
        <v>#NAME?</v>
      </c>
      <c r="AV6" s="29" t="e">
        <f>Weight_3.62</f>
        <v>#NAME?</v>
      </c>
      <c r="AW6" s="29" t="e">
        <f>Weight_3.63</f>
        <v>#NAME?</v>
      </c>
      <c r="AX6" s="29" t="e">
        <f>Weight_3.64</f>
        <v>#NAME?</v>
      </c>
      <c r="AY6" s="29" t="e">
        <f>Weight_3.65</f>
        <v>#NAME?</v>
      </c>
      <c r="AZ6" s="29" t="e">
        <f>Weight_3.66</f>
        <v>#NAME?</v>
      </c>
      <c r="BA6" s="29" t="e">
        <f>Weight_4.61</f>
        <v>#NAME?</v>
      </c>
      <c r="BB6" s="29" t="e">
        <f>Weight_1.71</f>
        <v>#NAME?</v>
      </c>
      <c r="BC6" s="29" t="e">
        <f>Weight_1.72</f>
        <v>#NAME?</v>
      </c>
      <c r="BD6" s="29" t="e">
        <f>Weight_2.71</f>
        <v>#NAME?</v>
      </c>
      <c r="BE6" s="29" t="e">
        <f>Weight_2.72</f>
        <v>#NAME?</v>
      </c>
      <c r="BF6" s="29" t="e">
        <f>Weight_3.71</f>
        <v>#NAME?</v>
      </c>
      <c r="BG6" s="29" t="e">
        <f>Weight_3.72</f>
        <v>#NAME?</v>
      </c>
      <c r="BH6" s="29" t="e">
        <f>Weight_3.73</f>
        <v>#NAME?</v>
      </c>
      <c r="BI6" s="29" t="e">
        <f>Weight_3.74</f>
        <v>#NAME?</v>
      </c>
      <c r="BJ6" s="29" t="e">
        <f>Weight_4.71</f>
        <v>#NAME?</v>
      </c>
    </row>
    <row r="7" spans="1:62" s="28" customFormat="1" ht="12">
      <c r="A7" s="25"/>
      <c r="B7" s="25"/>
      <c r="C7" s="25"/>
      <c r="D7" s="26"/>
      <c r="E7" s="26"/>
      <c r="F7" s="25"/>
      <c r="G7" s="25"/>
      <c r="H7" s="25"/>
      <c r="I7" s="25"/>
      <c r="J7" s="25"/>
      <c r="K7" s="25"/>
      <c r="L7" s="25"/>
      <c r="M7" s="25"/>
      <c r="N7" s="25"/>
      <c r="O7" s="25"/>
      <c r="P7" s="25"/>
      <c r="Q7" s="25"/>
      <c r="R7" s="25"/>
      <c r="S7" s="25"/>
      <c r="T7" s="25"/>
      <c r="U7" s="25"/>
      <c r="V7" s="25"/>
      <c r="W7" s="25"/>
      <c r="X7" s="25"/>
      <c r="Y7" s="25"/>
      <c r="Z7" s="25"/>
      <c r="AA7" s="25"/>
      <c r="AB7" s="25"/>
      <c r="AC7" s="25"/>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row>
    <row r="8" spans="1:62" s="28" customFormat="1" ht="48">
      <c r="A8" s="25" t="s">
        <v>283</v>
      </c>
      <c r="B8" s="25" t="str">
        <f>Program_Name</f>
        <v>Low Income Home Energy Assistance Program</v>
      </c>
      <c r="C8" s="25" t="str">
        <f>Program_Type_Primary</f>
        <v>Block/Formula</v>
      </c>
      <c r="D8" s="26">
        <f>Program_Type_Secondary</f>
        <v>0</v>
      </c>
      <c r="E8" s="26">
        <f>Program_Type_Tertiary</f>
        <v>0</v>
      </c>
      <c r="F8" s="25">
        <f>Score_1.1</f>
        <v>0.2</v>
      </c>
      <c r="G8" s="25">
        <f>Score_1.2</f>
        <v>0.2</v>
      </c>
      <c r="H8" s="25">
        <f>Score_1.3</f>
        <v>0.2</v>
      </c>
      <c r="I8" s="25">
        <f>Score_1.4</f>
        <v>0</v>
      </c>
      <c r="J8" s="25">
        <f>Score_1.5</f>
        <v>0.2</v>
      </c>
      <c r="K8" s="25">
        <f>Score_2.1</f>
        <v>0.125</v>
      </c>
      <c r="L8" s="25">
        <f>Score_2.2</f>
        <v>0.125</v>
      </c>
      <c r="M8" s="25">
        <f>Score_2.3</f>
        <v>0.125</v>
      </c>
      <c r="N8" s="25">
        <f>Score_2.4</f>
        <v>0</v>
      </c>
      <c r="O8" s="25">
        <f>Score_2.5</f>
        <v>0</v>
      </c>
      <c r="P8" s="25">
        <f>Score_2.6</f>
        <v>0</v>
      </c>
      <c r="Q8" s="25" t="e">
        <f>Score_2.7</f>
        <v>#REF!</v>
      </c>
      <c r="R8" s="25">
        <f>Score_3.1</f>
        <v>0.1111111111111111</v>
      </c>
      <c r="S8" s="25">
        <f>Score_3.2</f>
        <v>0.1111111111111111</v>
      </c>
      <c r="T8" s="25">
        <f>Score_3.3</f>
        <v>0.1111111111111111</v>
      </c>
      <c r="U8" s="25">
        <f>Score_3.4</f>
        <v>0</v>
      </c>
      <c r="V8" s="25">
        <f>Score_3.5</f>
        <v>0.1111111111111111</v>
      </c>
      <c r="W8" s="25">
        <f>Score_3.6</f>
        <v>0.1111111111111111</v>
      </c>
      <c r="X8" s="25">
        <f>Score_3.7</f>
        <v>0</v>
      </c>
      <c r="Y8" s="25">
        <f>Score_4.1</f>
        <v>0.0825</v>
      </c>
      <c r="Z8" s="25">
        <f>Score_4.2</f>
        <v>0</v>
      </c>
      <c r="AA8" s="25">
        <f>Score_4.3</f>
        <v>0.0825</v>
      </c>
      <c r="AB8" s="25">
        <f>Score_4.4</f>
      </c>
      <c r="AC8" s="25">
        <f>Score_4.5</f>
        <v>0</v>
      </c>
      <c r="AD8" s="29" t="e">
        <f>Score_3.11</f>
        <v>#NAME?</v>
      </c>
      <c r="AE8" s="29" t="e">
        <f>Score_3.12</f>
        <v>#NAME?</v>
      </c>
      <c r="AF8" s="29" t="e">
        <f>Score_2.21</f>
        <v>#NAME?</v>
      </c>
      <c r="AG8" s="29" t="e">
        <f>Score_2.22</f>
        <v>#NAME?</v>
      </c>
      <c r="AH8" s="29" t="e">
        <f>Score_3.21</f>
        <v>#NAME?</v>
      </c>
      <c r="AI8" s="29" t="e">
        <f>Score_3.22</f>
        <v>#NAME?</v>
      </c>
      <c r="AJ8" s="29" t="e">
        <f>Score_3.23</f>
        <v>#NAME?</v>
      </c>
      <c r="AK8" s="29" t="e">
        <f>Score_3.24</f>
        <v>#NAME?</v>
      </c>
      <c r="AL8" s="29" t="e">
        <f>Score_4.21</f>
        <v>#NAME?</v>
      </c>
      <c r="AM8" s="29" t="e">
        <f>Score_3.31</f>
        <v>#NAME?</v>
      </c>
      <c r="AN8" s="29" t="e">
        <f>Score_3.32</f>
        <v>#NAME?</v>
      </c>
      <c r="AO8" s="29" t="e">
        <f>Score_3.33</f>
        <v>#NAME?</v>
      </c>
      <c r="AP8" s="29" t="e">
        <f>Score_3.34</f>
        <v>#NAME?</v>
      </c>
      <c r="AQ8" s="29" t="e">
        <f>Score_3.41</f>
        <v>#NAME?</v>
      </c>
      <c r="AR8" s="29" t="e">
        <f>Score_3.42</f>
        <v>#NAME?</v>
      </c>
      <c r="AS8" s="29" t="e">
        <f>Score_3.43</f>
        <v>#NAME?</v>
      </c>
      <c r="AT8" s="29" t="e">
        <f>Score_2.61</f>
        <v>#NAME?</v>
      </c>
      <c r="AU8" s="29" t="e">
        <f>Score_3.61</f>
        <v>#NAME?</v>
      </c>
      <c r="AV8" s="29" t="e">
        <f>Score_3.62</f>
        <v>#NAME?</v>
      </c>
      <c r="AW8" s="29" t="e">
        <f>Score_3.63</f>
        <v>#NAME?</v>
      </c>
      <c r="AX8" s="29" t="e">
        <f>Score_3.64</f>
        <v>#NAME?</v>
      </c>
      <c r="AY8" s="29" t="e">
        <f>Score_3.65</f>
        <v>#NAME?</v>
      </c>
      <c r="AZ8" s="29" t="e">
        <f>Score_3.66</f>
        <v>#NAME?</v>
      </c>
      <c r="BA8" s="29" t="e">
        <f>Score_4.61</f>
        <v>#NAME?</v>
      </c>
      <c r="BB8" s="29" t="e">
        <f>Score_1.71</f>
        <v>#NAME?</v>
      </c>
      <c r="BC8" s="29" t="e">
        <f>Score_1.72</f>
        <v>#NAME?</v>
      </c>
      <c r="BD8" s="29" t="e">
        <f>Score_2.71</f>
        <v>#NAME?</v>
      </c>
      <c r="BE8" s="29" t="e">
        <f>Score_2.72</f>
        <v>#NAME?</v>
      </c>
      <c r="BF8" s="29" t="e">
        <f>Score_3.71</f>
        <v>#NAME?</v>
      </c>
      <c r="BG8" s="29" t="e">
        <f>Score_3.72</f>
        <v>#NAME?</v>
      </c>
      <c r="BH8" s="29" t="e">
        <f>Score_3.73</f>
        <v>#NAME?</v>
      </c>
      <c r="BI8" s="29" t="e">
        <f>Score_3.74</f>
        <v>#NAME?</v>
      </c>
      <c r="BJ8" s="29" t="e">
        <f>Score_4.71</f>
        <v>#NAME?</v>
      </c>
    </row>
    <row r="9" spans="1:29" s="28" customFormat="1" ht="12">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row>
    <row r="10" spans="1:29" s="28" customFormat="1" ht="12">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row>
    <row r="12" spans="1:62" ht="13.5" customHeight="1">
      <c r="A12" s="25" t="s">
        <v>279</v>
      </c>
      <c r="B12" s="25" t="str">
        <f>Program_Name</f>
        <v>Low Income Home Energy Assistance Program</v>
      </c>
      <c r="C12" s="25" t="str">
        <f>Program_Type_Primary</f>
        <v>Block/Formula</v>
      </c>
      <c r="D12" s="26">
        <f>Program_Type_Secondary</f>
        <v>0</v>
      </c>
      <c r="E12" s="26">
        <f>Program_Type_Tertiary</f>
        <v>0</v>
      </c>
      <c r="F12" s="26" t="str">
        <f>Expl_1.1</f>
        <v>The program assists low income households, particularly those with the lowest incomes, that pay a high proportion of household income for home energy, primarily in meeting their immediate home energy needs. </v>
      </c>
      <c r="G12" s="26" t="str">
        <f>Expl_1.2</f>
        <v>LIHEAP targets 2 groups: (1) high-energy burden households, which are households with the lowest incomes and highest home energy costs, and (2) vulnerable households, which consist of frail older individuals, individuals with disabilities, or very young children. Home energy burden for low income households is over four times that of non-low income households-- putting them in danger of safety hazards. Vulnerable households are at risk for health problems due to insufficient home heating or cooling.  </v>
      </c>
      <c r="H12" s="27" t="str">
        <f>Expl_1.3</f>
        <v>LIHEAP is the only comprehensive national energy assistance program as it includes heating and cooling assistance, and energy crisis intervention.  Grantees may use LIHEAP funds for low-cost residential weatherization and other energy-related home repair, similar to the DOE Weatherization Assistance Program (WAP).  However, WAP doesn't serve tribes and territories directly.</v>
      </c>
      <c r="I12" s="26" t="str">
        <f>Expl_1.4</f>
        <v>Critics have argued that the LIHEAP formula should be revised to be more equitable for states. The current formula includes factors related to energy expenditures, low-income populations and climate and favors Northeast and Midwest states. The revised LIHEAP formula distributes funds according to each states' share of expenditures by low income households for home energy-- however it is implemented only when appropriations go above $1.975 billion in a given year, which has occurred twice since it was established. The statute for this formula provides for "hold-harmless provisions", in which no grantee is to get less under the new formula than they received under the old formula with an appropriation of $1.975 billion.  The new formula gives more weight to warm weather, which means that Southern and Western states fair better when the new formula is activated than they do under the current. </v>
      </c>
      <c r="J12" s="26" t="str">
        <f>Expl_1.5</f>
        <v>LIHEAP's GPRA plan tracks and insures that resources reach intended beneficiaries; the measures specificially focus on targeting vulnerable and high energy burden households.  In addition, the LIHEAP statute provides contingency funds which are targeted to those states, territories and tribes most affected by an emergency.   </v>
      </c>
      <c r="K12" s="26" t="str">
        <f>Expl_2.1</f>
        <v>LIHEAP managers, partners and OMB have agreed that the block grant design of the program does not allow for the measurement of outcomes nor an efficiency measure.  Therefore, the program has recently developed measures that are proxies for health and safety outcomes.  These long-term measures focus on targeting assistance.  The program has also identified other goals that are more difficult to measure, but are goals nonetheless.  These include: (1) increasing energy affordability and (2) increasing efficiency of energy usage of low income households (measured by the Department of Energy).  </v>
      </c>
      <c r="L12" s="26" t="str">
        <f>Expl_2.2</f>
        <v>The LIHEAP program projects that the rate for LIHEAP eligible elderly households served will be at least equal to that of all LIHEAP eligible households by FY 2008, despite diminishing state fiscal resources available and the inherent difficulties of serving this population. The program seeks to maintain the percentage of households served with young children.  Because these measures are relatively new and a trend has not yet been established, it cannot yet be determined if these measures are ambitious.</v>
      </c>
      <c r="M12" s="26" t="str">
        <f>Expl_2.3</f>
        <v>OCS has developed targeting indexes for households with elderly and young children as annual performance measures.  Targeting indexes are not calculated for households with a disabled member as States define disability differently.  As aforementioned, these goals are relatively new and show some progress toward achieving the long term goals.</v>
      </c>
      <c r="N12" s="26" t="str">
        <f>Expl_2.4</f>
        <v>Baseline data are available on targeting indexes for low income elderly and young children households. The target is to increase by 2 index points annually the rate for low income eligible elderly households receiving heating assitance by FY 2008.  Because these measures are relatively new and a trend has not yet been established, it cannot yet be determined if these measures are ambitious.</v>
      </c>
      <c r="O12" s="26" t="str">
        <f>Expl_2.5</f>
        <v>Most states have not developed long-term goals for their programs, nor are they required to do so under the block grant structure.  However, each State files an annual LIHEAP program plan that documents how the state will meet the unique needs of its low-income households.  States must conduct outreach activities and can give priority to households with highest home energy needs.  In addition, OCS established the LIHEAP Managing for Results Committee in 1998 which is composed mostly of state LIHEAP directors and seeks to support performance measurement and evaluation efforts.</v>
      </c>
      <c r="P12" s="26" t="str">
        <f>Expl_2.6</f>
        <v>There has been no national studies conducted to evaluate program effectiveness and improvement. An evaluation is being planned concerning the targeting of high energy burden households.</v>
      </c>
      <c r="Q12" s="26" t="str">
        <f>Expl_2.7</f>
        <v>The program's budget is not performance-based.  OCS has developed estimates of the amount of fuel assistance funding needed to reduce the home energy burden for all low income households to 10% and 5% of household income.  However, the additional funding needed in reducing home energy burden to a certain level would require that the program be changed from a block grant to an entitlement program.</v>
      </c>
      <c r="R12" s="26" t="str">
        <f>Expl_3.1</f>
        <v>OCS collects annual performance data from grantees and a sample of LIHEAP recipients through the Current Population Survey and the Residential Energy Consumption Survey. OCS analyzes the targeting indexes for vulnerable households by Census division to identify those areas where eligible vulnerable households are underserved.  For those underserved locations, OCS concentrates LIHEAP outreach efforts by coordinating with local programs funded by Head Start, the Administration on Developmental Disabilities and the Administration on Aging.</v>
      </c>
      <c r="S12" s="26" t="str">
        <f>Expl_3.2</f>
        <v>Federal managers are held accountable through annual work plans and individual performance plans.  LIHEAP grantees are held accountable for program performance through annual financial audits, State Plan Assurances, reports on performance data, and on administrative cost limits.</v>
      </c>
      <c r="T12" s="26" t="str">
        <f>Expl_3.3</f>
        <v>Once LIHEAP grantee plans are completed, and federal funds are available, grant awards are issued immediately.  States receive quarterly allocations of their annual allotments.  States must obligate at least 90% of their fiscal year allocation before the end of that fiscal year on 9/30, and may carryover no more than 10% into the following fiscal year.    </v>
      </c>
      <c r="U12" s="26" t="str">
        <f>Expl_3.4</f>
        <v>The block grant nature of this program does not allow for the measurement of efficiency, however the program has incentives to improve cost effectiveness. The LIHEAP leveraging incentive program awards grantees that have acquired additional non-Federal energy assistance resources to expand the effect of the Federal LIHEAP dollars.  For example, grantees can report the following activities as countable resources under this program: home energy discounts or waivers; forgiveness of energy arrearages; waiver of utility connection fees and donated weatherization materials.  Finally, OCS is developing an integrated MIS system to increase the availability of data on-line and streamline reporting activities.  These IT improvements will provide an efficient and effective use of automation to meet program goals and objectives.</v>
      </c>
      <c r="V12" s="26" t="str">
        <f>Expl_3.5</f>
        <v>LIHEAP coordinates with DOE's Weatherization Program to allow flexibility for LIHEAP grantees to use DOE, LIHEAP or a combination of each program's rules.  OCS'  LIHEAP Managing for Results Committee is a partnership among states, the National Energy Assistance Directors' Assocication and other entities; OCS also partners with Head Start, Administration on Aging and Administration on Developmental Disabilities.  States are required to coordinate under statutory assurances.</v>
      </c>
      <c r="W12" s="26" t="str">
        <f>Expl_3.6</f>
        <v>States must comply with the Single Audit Act requirements.  States must submit a financial status report each year on how LIHEAP funds are used.  Grantees are required to have provisions in place to prevent waste, fraud and abuse, and have systems to track the accounting of funds.</v>
      </c>
      <c r="X12" s="26" t="str">
        <f>Expl_3.7</f>
        <v>OCS is undergoing a restructuring process to ensure that management resources are in place to meet the needs of the administration and grantees, however it has not yet been implemented.  Specific program effects on LIHEAP management deficiencies are not yet known.</v>
      </c>
      <c r="Y12" s="26" t="str">
        <f>Expl_4.1</f>
        <v>Trend data shows that the net effect of LIHEAP assistance has been to move low income household heating burdens closer to that of all households.  Findings suggest that households with low incomes and high energy costs are receiving help from LIHEAP.  </v>
      </c>
      <c r="Z12" s="26" t="str">
        <f>Expl_4.1</f>
        <v>Trend data shows that the net effect of LIHEAP assistance has been to move low income household heating burdens closer to that of all households.  Findings suggest that households with low incomes and high energy costs are receiving help from LIHEAP.  </v>
      </c>
      <c r="AA12" s="26" t="str">
        <f>Expl_4.1</f>
        <v>Trend data shows that the net effect of LIHEAP assistance has been to move low income household heating burdens closer to that of all households.  Findings suggest that households with low incomes and high energy costs are receiving help from LIHEAP.  </v>
      </c>
      <c r="AB12" s="26" t="str">
        <f>Expl_4.1</f>
        <v>Trend data shows that the net effect of LIHEAP assistance has been to move low income household heating burdens closer to that of all households.  Findings suggest that households with low incomes and high energy costs are receiving help from LIHEAP.  </v>
      </c>
      <c r="AC12" s="26" t="str">
        <f>Expl_4.1</f>
        <v>Trend data shows that the net effect of LIHEAP assistance has been to move low income household heating burdens closer to that of all households.  Findings suggest that households with low incomes and high energy costs are receiving help from LIHEAP.  </v>
      </c>
      <c r="AD12" s="29" t="e">
        <f>Expl_3.11</f>
        <v>#NAME?</v>
      </c>
      <c r="AE12" s="29" t="e">
        <f>Expl_3.12</f>
        <v>#NAME?</v>
      </c>
      <c r="AF12" s="29" t="e">
        <f>Expl_2.21</f>
        <v>#NAME?</v>
      </c>
      <c r="AG12" s="29" t="e">
        <f>Expl_2.22</f>
        <v>#NAME?</v>
      </c>
      <c r="AH12" s="29" t="e">
        <f>Expl_3.21</f>
        <v>#NAME?</v>
      </c>
      <c r="AI12" s="29" t="e">
        <f>Expl_3.22</f>
        <v>#NAME?</v>
      </c>
      <c r="AJ12" s="29" t="e">
        <f>Expl_3.23</f>
        <v>#NAME?</v>
      </c>
      <c r="AK12" s="29" t="e">
        <f>Expl_3.24</f>
        <v>#NAME?</v>
      </c>
      <c r="AL12" s="29" t="e">
        <f>Expl_4.21</f>
        <v>#NAME?</v>
      </c>
      <c r="AM12" s="29" t="e">
        <f>Expl_3.31</f>
        <v>#NAME?</v>
      </c>
      <c r="AN12" s="29" t="e">
        <f>Expl_3.32</f>
        <v>#NAME?</v>
      </c>
      <c r="AO12" s="29" t="e">
        <f>Expl_3.33</f>
        <v>#NAME?</v>
      </c>
      <c r="AP12" s="29" t="e">
        <f>Expl_3.34</f>
        <v>#NAME?</v>
      </c>
      <c r="AQ12" s="29" t="e">
        <f>Expl_3.41</f>
        <v>#NAME?</v>
      </c>
      <c r="AR12" s="29" t="e">
        <f>Expl_3.42</f>
        <v>#NAME?</v>
      </c>
      <c r="AS12" s="29" t="e">
        <f>Expl_3.43</f>
        <v>#NAME?</v>
      </c>
      <c r="AT12" s="29" t="e">
        <f>Expl_2.61</f>
        <v>#NAME?</v>
      </c>
      <c r="AU12" s="29" t="e">
        <f>Expl_3.61</f>
        <v>#NAME?</v>
      </c>
      <c r="AV12" s="29" t="e">
        <f>Expl_3.62</f>
        <v>#NAME?</v>
      </c>
      <c r="AW12" s="29" t="e">
        <f>Expl_3.63</f>
        <v>#NAME?</v>
      </c>
      <c r="AX12" s="29" t="e">
        <f>Expl_3.64</f>
        <v>#NAME?</v>
      </c>
      <c r="AY12" s="29" t="e">
        <f>Expl_3.65</f>
        <v>#NAME?</v>
      </c>
      <c r="AZ12" s="29" t="e">
        <f>Expl_3.66</f>
        <v>#NAME?</v>
      </c>
      <c r="BA12" s="29" t="e">
        <f>Expl_4.61</f>
        <v>#NAME?</v>
      </c>
      <c r="BB12" s="29" t="e">
        <f>Expl_1.71</f>
        <v>#NAME?</v>
      </c>
      <c r="BC12" s="29" t="e">
        <f>Expl_1.72</f>
        <v>#NAME?</v>
      </c>
      <c r="BD12" s="29" t="e">
        <f>Expl_2.71</f>
        <v>#NAME?</v>
      </c>
      <c r="BE12" s="29" t="e">
        <f>Expl_2.72</f>
        <v>#NAME?</v>
      </c>
      <c r="BF12" s="29" t="e">
        <f>Expl_3.71</f>
        <v>#NAME?</v>
      </c>
      <c r="BG12" s="29" t="e">
        <f>Expl_3.72</f>
        <v>#NAME?</v>
      </c>
      <c r="BH12" s="29" t="e">
        <f>Expl_3.73</f>
        <v>#NAME?</v>
      </c>
      <c r="BI12" s="29" t="e">
        <f>Expl_3.74</f>
        <v>#NAME?</v>
      </c>
      <c r="BJ12" s="29" t="e">
        <f>Expl_4.71</f>
        <v>#NAME?</v>
      </c>
    </row>
    <row r="13" spans="1:62" ht="228">
      <c r="A13" s="25" t="s">
        <v>1747</v>
      </c>
      <c r="B13" s="25" t="str">
        <f>Program_Name</f>
        <v>Low Income Home Energy Assistance Program</v>
      </c>
      <c r="C13" s="25" t="str">
        <f>Program_Type_Primary</f>
        <v>Block/Formula</v>
      </c>
      <c r="D13" s="26">
        <f>Program_Type_Secondary</f>
        <v>0</v>
      </c>
      <c r="E13" s="26">
        <f>Program_Type_Tertiary</f>
        <v>0</v>
      </c>
      <c r="F13" s="26" t="str">
        <f>Evid_1.1</f>
        <v>Sections 2602(a)  and 2603(4) of the LIHEAP statute (Title III, P.L. 105-285); Conference Report accompanying S. 2000; House Report accompanying HR 4250</v>
      </c>
      <c r="G13" s="26" t="str">
        <f>Evid_1.2</f>
        <v>Section 2603(4) and 2605(b)(1)(A-C) of the LIHEAP statute; Senate Report 103-251 accompanying S. 2000; LIHEAP Home Energy Notebook (Figure 3, p.iii).</v>
      </c>
      <c r="H13" s="26" t="str">
        <f>Evid_1.3</f>
        <v>LIHEAP Committee on Managing for Results' workbook, “Integrating Government-Funded and Ratepayer-Funded Low-Income Fuel Assistance Programs” (May 2002); "An Introduction to Electric Utility Restructuring" (Eisenberg, Sept 1997)  </v>
      </c>
      <c r="I13" s="26" t="str">
        <f>Evid_1.4</f>
        <v>Conf. Report accompanying S. 2000 (103-251); House Report accompanying H.R. 4250; LIHEAP Reconsidered by Mark J. Kaiser and Allan G. Pulsipher, Center for Energy Studies, Louisiana State University </v>
      </c>
      <c r="J13" s="26" t="str">
        <f>Evid_1.5</f>
        <v>GPRA Performance Plan; LIHEAP Report to Congress for FY 2001; History of LIHEAP Contingency Fund Distributions; Sec 2602(e) of the LIHEAP statute; Block Grant Regs</v>
      </c>
      <c r="K13" s="26" t="str">
        <f>Evid_2.1</f>
        <v>Sec. 2605(b) of the LIHEAP statute and LIHEAP IM96-02; LIHEAP Household Report; ACF GPRA Report  </v>
      </c>
      <c r="L13" s="26" t="str">
        <f>Evid_2.2</f>
        <v>ACF's LIHEAP GPRA report for targeting index data; FY 2001 LIHEAP Home Energy Notebook</v>
      </c>
      <c r="M13" s="26" t="str">
        <f>Evid_2.3</f>
        <v>LIHEAP Model Plan and Assurances; Charter of LIHEAP Managing for Results Committee; LIHEAP Household Report; Section 2605 (b) of the LIHEAP statute.</v>
      </c>
      <c r="N13" s="26" t="str">
        <f>Evid_2.4</f>
        <v>LIHEAP Home Energy Notebook for FY 2001.  LIHEAP Report to Congress for FY 2001.  ACF's GPRA report</v>
      </c>
      <c r="O13" s="26" t="str">
        <f>Evid_2.5</f>
        <v>LIHEAP Home Energy Notebook for FY 2001</v>
      </c>
      <c r="P13" s="26" t="str">
        <f>Evid_2.6</f>
        <v>OCS Restructuring Plan (to be published in the Federal Register)</v>
      </c>
      <c r="Q13" s="26" t="e">
        <f>Evid_2.7</f>
        <v>#REF!</v>
      </c>
      <c r="R13" s="26" t="str">
        <f>Evid_3.1</f>
        <v>LIHEAP Report to Congress for FY 2001; LIHEAP Energy Notebook for FY 2001; LIHEAP Household Report; LIHEAP Grantee Survey; OCS Restructuring Plan (to be published in the Federal Register)</v>
      </c>
      <c r="S13" s="26" t="str">
        <f>Evid_3.2</f>
        <v>ACF Manager Work Plans; ACF Employee Performance Management System (EPMS); Single Audit Act; LIHEAP Report to Congress for FY 2001; Section 2605(b) of the LIHEAP statute</v>
      </c>
      <c r="T13" s="26" t="str">
        <f>Evid_3.3</f>
        <v>LIHEAP statute:  Section 2607;  Regs:  CFR 96.81; Carryover and Reallotment Report; Quarterly Estimate Report, ACF-535; SF 269-A, Financial Status Report</v>
      </c>
      <c r="U13" s="26" t="str">
        <f>Evid_3.4</f>
        <v>LIHEAP Report to Congress for FY 2001.  State electronic reporting templates for LIHEAP Household Report and LIHEAP Grantee Survey.  OCS MIS as part of OCS Restructuring Plan (to be published in the Federal Register)</v>
      </c>
      <c r="V13" s="26" t="str">
        <f>Evid_3.5</f>
        <v>LIHEAP Weatherization Information Memorandum; LIHEAP Leveraging Incentive Information Memorandum; Section 2605(b)(4) of the LIHEAP statute; Charter of LIHEAP Managing for Results Committee.</v>
      </c>
      <c r="W13" s="26" t="str">
        <f>Evid_3.6</f>
        <v>OMB Circular A-128; Section 2605(b)(10) of the LIHEAP Statute; Block Grant Regs: 96.87; 96.30; SF 269-A, Financial Status Report</v>
      </c>
      <c r="X13" s="26" t="str">
        <f>Evid_3.7</f>
        <v>OCS restructuring plan (to be published in the Federal Register)</v>
      </c>
      <c r="Y13" s="26" t="str">
        <f>Evid_4.1</f>
        <v>LIHEAP Report to Congress for FY 2001.  LIHEAP Energy Notebook for FY 2001</v>
      </c>
      <c r="Z13" s="26" t="str">
        <f>Evid_4.1</f>
        <v>LIHEAP Report to Congress for FY 2001.  LIHEAP Energy Notebook for FY 2001</v>
      </c>
      <c r="AA13" s="26" t="str">
        <f>Evid_4.1</f>
        <v>LIHEAP Report to Congress for FY 2001.  LIHEAP Energy Notebook for FY 2001</v>
      </c>
      <c r="AB13" s="26" t="str">
        <f>Evid_4.1</f>
        <v>LIHEAP Report to Congress for FY 2001.  LIHEAP Energy Notebook for FY 2001</v>
      </c>
      <c r="AC13" s="26" t="str">
        <f>Evid_4.1</f>
        <v>LIHEAP Report to Congress for FY 2001.  LIHEAP Energy Notebook for FY 2001</v>
      </c>
      <c r="AD13" s="29" t="e">
        <f>Evid_3.11</f>
        <v>#NAME?</v>
      </c>
      <c r="AE13" s="29" t="e">
        <f>Evid_3.12</f>
        <v>#NAME?</v>
      </c>
      <c r="AF13" s="29" t="e">
        <f>Evid_2.21</f>
        <v>#NAME?</v>
      </c>
      <c r="AG13" s="29" t="e">
        <f>Evid_2.22</f>
        <v>#NAME?</v>
      </c>
      <c r="AH13" s="29" t="e">
        <f>Evid_3.21</f>
        <v>#NAME?</v>
      </c>
      <c r="AI13" s="29" t="e">
        <f>Evid_3.22</f>
        <v>#NAME?</v>
      </c>
      <c r="AJ13" s="29" t="e">
        <f>Evid_3.23</f>
        <v>#NAME?</v>
      </c>
      <c r="AK13" s="29" t="e">
        <f>Evid_3.24</f>
        <v>#NAME?</v>
      </c>
      <c r="AL13" s="29" t="e">
        <f>Evid_4.21</f>
        <v>#NAME?</v>
      </c>
      <c r="AM13" s="29" t="e">
        <f>Evid_3.31</f>
        <v>#NAME?</v>
      </c>
      <c r="AN13" s="29" t="e">
        <f>Evid_3.32</f>
        <v>#NAME?</v>
      </c>
      <c r="AO13" s="29" t="e">
        <f>Evid_3.33</f>
        <v>#NAME?</v>
      </c>
      <c r="AP13" s="29" t="e">
        <f>Evid_3.34</f>
        <v>#NAME?</v>
      </c>
      <c r="AQ13" s="29" t="e">
        <f>Evid_3.41</f>
        <v>#NAME?</v>
      </c>
      <c r="AR13" s="29" t="e">
        <f>Evid_3.42</f>
        <v>#NAME?</v>
      </c>
      <c r="AS13" s="29" t="e">
        <f>Evid_3.43</f>
        <v>#NAME?</v>
      </c>
      <c r="AT13" s="29" t="e">
        <f>Evid_2.61</f>
        <v>#NAME?</v>
      </c>
      <c r="AU13" s="29" t="e">
        <f>Evid_3.61</f>
        <v>#NAME?</v>
      </c>
      <c r="AV13" s="29" t="e">
        <f>Evid_3.62</f>
        <v>#NAME?</v>
      </c>
      <c r="AW13" s="29" t="e">
        <f>Evid_3.63</f>
        <v>#NAME?</v>
      </c>
      <c r="AX13" s="29" t="e">
        <f>Evid_3.64</f>
        <v>#NAME?</v>
      </c>
      <c r="AY13" s="29" t="e">
        <f>Evid_3.65</f>
        <v>#NAME?</v>
      </c>
      <c r="AZ13" s="29" t="e">
        <f>Evid_3.66</f>
        <v>#NAME?</v>
      </c>
      <c r="BA13" s="29" t="e">
        <f>Evid_4.61</f>
        <v>#NAME?</v>
      </c>
      <c r="BB13" s="29" t="e">
        <f>Evid_1.71</f>
        <v>#NAME?</v>
      </c>
      <c r="BC13" s="29" t="e">
        <f>Evid_1.72</f>
        <v>#NAME?</v>
      </c>
      <c r="BD13" s="29" t="e">
        <f>Evid_2.71</f>
        <v>#NAME?</v>
      </c>
      <c r="BE13" s="29" t="e">
        <f>Evid_2.72</f>
        <v>#NAME?</v>
      </c>
      <c r="BF13" s="29" t="e">
        <f>Evid_3.71</f>
        <v>#NAME?</v>
      </c>
      <c r="BG13" s="29" t="e">
        <f>Evid_3.72</f>
        <v>#NAME?</v>
      </c>
      <c r="BH13" s="29" t="e">
        <f>Evid_3.73</f>
        <v>#NAME?</v>
      </c>
      <c r="BI13" s="29" t="e">
        <f>Evid_3.74</f>
        <v>#NAME?</v>
      </c>
      <c r="BJ13" s="29" t="e">
        <f>Evid_4.71</f>
        <v>#NAME?</v>
      </c>
    </row>
  </sheetData>
  <mergeCells count="6">
    <mergeCell ref="AQ1:AS1"/>
    <mergeCell ref="AT1:BA1"/>
    <mergeCell ref="BB1:BJ1"/>
    <mergeCell ref="AD1:AE1"/>
    <mergeCell ref="AF1:AL1"/>
    <mergeCell ref="AM1:AP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USER</cp:lastModifiedBy>
  <cp:lastPrinted>2003-07-25T19:24:54Z</cp:lastPrinted>
  <dcterms:created xsi:type="dcterms:W3CDTF">2002-04-18T17:14:40Z</dcterms:created>
  <dcterms:modified xsi:type="dcterms:W3CDTF">2005-11-28T20:14:42Z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-85025491</vt:i4>
  </property>
  <property fmtid="{D5CDD505-2E9C-101B-9397-08002B2CF9AE}" pid="3" name="_EmailSubject">
    <vt:lpwstr>FINAL PART UPDATES</vt:lpwstr>
  </property>
  <property fmtid="{D5CDD505-2E9C-101B-9397-08002B2CF9AE}" pid="4" name="_AuthorEmail">
    <vt:lpwstr>NStAngelo@acf.hhs.gov</vt:lpwstr>
  </property>
  <property fmtid="{D5CDD505-2E9C-101B-9397-08002B2CF9AE}" pid="5" name="_AuthorEmailDisplayName">
    <vt:lpwstr>St.Angelo, Nick (ACF)</vt:lpwstr>
  </property>
  <property fmtid="{D5CDD505-2E9C-101B-9397-08002B2CF9AE}" pid="6" name="_PreviousAdHocReviewCycleID">
    <vt:i4>1196512860</vt:i4>
  </property>
  <property fmtid="{D5CDD505-2E9C-101B-9397-08002B2CF9AE}" pid="7" name="_ReviewingToolsShownOnce">
    <vt:lpwstr/>
  </property>
</Properties>
</file>