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15" activeTab="0"/>
  </bookViews>
  <sheets>
    <sheet name="Formula" sheetId="1" r:id="rId1"/>
    <sheet name="State Allocations" sheetId="2" r:id="rId2"/>
    <sheet name="Tribes" sheetId="3" r:id="rId3"/>
    <sheet name="heater_data" sheetId="4" r:id="rId4"/>
    <sheet name="summary" sheetId="5" r:id="rId5"/>
    <sheet name="#2" sheetId="6" r:id="rId6"/>
    <sheet name="#3" sheetId="7" r:id="rId7"/>
    <sheet name="#4" sheetId="8" r:id="rId8"/>
  </sheets>
  <externalReferences>
    <externalReference r:id="rId11"/>
  </externalReferences>
  <definedNames>
    <definedName name="_Fill" hidden="1">#REF!</definedName>
    <definedName name="_xlnm.Print_Area" localSheetId="5">'#2'!$A$1:$H$65</definedName>
    <definedName name="_xlnm.Print_Area" localSheetId="0">'Formula'!$A$1:$J$64</definedName>
    <definedName name="_xlnm.Print_Area" localSheetId="3">'heater_data'!$A$1:$K$75</definedName>
    <definedName name="_xlnm.Print_Area" localSheetId="1">'State Allocations'!$A:$E</definedName>
    <definedName name="_xlnm.Print_Area" localSheetId="2">'Tribes'!$A$1:$I$234</definedName>
    <definedName name="Print_Area_MI" localSheetId="2">'Tribes'!$A$1:$I$234</definedName>
    <definedName name="PRINT_AREA_MI">#REF!</definedName>
    <definedName name="_xlnm.Print_Titles" localSheetId="5">'#2'!$A:$A,'#2'!$1:$7</definedName>
    <definedName name="_xlnm.Print_Titles" localSheetId="6">'#3'!$1:$9</definedName>
    <definedName name="_xlnm.Print_Titles" localSheetId="0">'Formula'!$A:$A,'Formula'!$1:$6</definedName>
    <definedName name="_xlnm.Print_Titles" localSheetId="1">'State Allocations'!$1:$7</definedName>
    <definedName name="_xlnm.Print_Titles" localSheetId="4">'summary'!$1:$4</definedName>
  </definedNames>
  <calcPr fullCalcOnLoad="1"/>
</workbook>
</file>

<file path=xl/sharedStrings.xml><?xml version="1.0" encoding="utf-8"?>
<sst xmlns="http://schemas.openxmlformats.org/spreadsheetml/2006/main" count="1079" uniqueCount="338">
  <si>
    <t>Total</t>
  </si>
  <si>
    <t>Alaska</t>
  </si>
  <si>
    <t>Connecticut</t>
  </si>
  <si>
    <t>Delaware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</si>
  <si>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</si>
  <si>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</si>
  <si>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</si>
  <si>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</si>
  <si>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</si>
  <si>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</si>
  <si>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</si>
  <si>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</si>
  <si>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Alabama</t>
  </si>
  <si>
    <t>Arizona</t>
  </si>
  <si>
    <t>Arkansas</t>
  </si>
  <si>
    <t>California</t>
  </si>
  <si>
    <t>Colorado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</si>
  <si>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</si>
  <si>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</si>
  <si>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</si>
  <si>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</si>
  <si>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</si>
  <si>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</si>
  <si>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</si>
  <si>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</si>
  <si>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</si>
  <si>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</si>
  <si>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</si>
  <si>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Michigan</t>
  </si>
  <si>
    <t>Minnesota</t>
  </si>
  <si>
    <t>Mississippi</t>
  </si>
  <si>
    <t>Missouri</t>
  </si>
  <si>
    <t>Montana</t>
  </si>
  <si>
    <t>Nebraska</t>
  </si>
  <si>
    <t>Nevada</t>
  </si>
  <si>
    <t>New Mexico</t>
  </si>
  <si>
    <t>North Carolina</t>
  </si>
  <si>
    <t>North Dakota</t>
  </si>
  <si>
    <t>Ohio</t>
  </si>
  <si>
    <t>Oklahoma</t>
  </si>
  <si>
    <t>Oregon</t>
  </si>
  <si>
    <t>South Carolina</t>
  </si>
  <si>
    <t>South Dakota</t>
  </si>
  <si>
    <t>Tennessee</t>
  </si>
  <si>
    <t>Texas</t>
  </si>
  <si>
    <t>Utah</t>
  </si>
  <si>
    <t>Virginia</t>
  </si>
  <si>
    <t>Washington</t>
  </si>
  <si>
    <t>West Virginia</t>
  </si>
  <si>
    <t>Wisconsin</t>
  </si>
  <si>
    <t>Wyoming</t>
  </si>
  <si>
    <t>D.C.</t>
  </si>
  <si>
    <t xml:space="preserve"> </t>
  </si>
  <si>
    <t>Territories</t>
  </si>
  <si>
    <t xml:space="preserve">  Total to States</t>
  </si>
  <si>
    <t xml:space="preserve">  TOTAL to States</t>
  </si>
  <si>
    <t>Geography</t>
  </si>
  <si>
    <t>Total households</t>
  </si>
  <si>
    <t>Heating Fuel</t>
  </si>
  <si>
    <t>Utiliy gas</t>
  </si>
  <si>
    <t>Bottled, tank, or LP gas</t>
  </si>
  <si>
    <t>Electricity</t>
  </si>
  <si>
    <t>Fuel oil, kerosene, etc.</t>
  </si>
  <si>
    <t>Coal or coke</t>
  </si>
  <si>
    <t>Wood</t>
  </si>
  <si>
    <t>Solar energy</t>
  </si>
  <si>
    <t>Other fuel</t>
  </si>
  <si>
    <t>No fuel used</t>
  </si>
  <si>
    <t>United States</t>
  </si>
  <si>
    <t>Northeast Region</t>
  </si>
  <si>
    <t>Midwest Region</t>
  </si>
  <si>
    <t>South Region</t>
  </si>
  <si>
    <t>West Region</t>
  </si>
  <si>
    <t>New England Division</t>
  </si>
  <si>
    <t>Middle Atlantic Division</t>
  </si>
  <si>
    <t>East North Central Division</t>
  </si>
  <si>
    <t>West North Central Division</t>
  </si>
  <si>
    <t>South Atlantic Division</t>
  </si>
  <si>
    <t>East South Central Division</t>
  </si>
  <si>
    <t>West South Central Division</t>
  </si>
  <si>
    <t>Mountain Division</t>
  </si>
  <si>
    <t>Pacific Division</t>
  </si>
  <si>
    <t>District of Columbia</t>
  </si>
  <si>
    <t>See technical notes for definitions.</t>
  </si>
  <si>
    <t>Weighted estimates compiled from 2000 Decennial Census Sample Edited Detail File by the U.S. Bureau of the Census for the U.S. Administration for Children and Families/HHS, February 2005.</t>
  </si>
  <si>
    <t>Data are based on the FY 2000 state median income estimates published in the Federal Register on February 26, 1999 (Volume 64, Number 38, pages 9513-9514), the 1999 HHS Poverty Guidelines published in the Federal Register on March 18, 1999 (Volume 64, Num</t>
  </si>
  <si>
    <t>Percent distributions may not sum to 100 percent due to rounding.</t>
  </si>
  <si>
    <r>
      <t xml:space="preserve">Table11I(N).  </t>
    </r>
    <r>
      <rPr>
        <sz val="12"/>
        <color indexed="8"/>
        <rFont val="Arial"/>
        <family val="2"/>
      </rPr>
      <t>Number of Households with Household Income Less Than Or Equal To Greater of 150% of HHS Poverty Guidelines or 60% of HHS State Median Income Guidelines By Type of Heating Fuel</t>
    </r>
  </si>
  <si>
    <t>Total allocation</t>
  </si>
  <si>
    <t>OIL % HH Using fuel for heat</t>
  </si>
  <si>
    <t>LPG % HH Using fuel for heat</t>
  </si>
  <si>
    <t>NG % HH Using fuel for heat</t>
  </si>
  <si>
    <t>Contingency Distribution</t>
  </si>
  <si>
    <t xml:space="preserve">FY06 Contingency as Proposed in Conference </t>
  </si>
  <si>
    <t>FY06 as appropriated</t>
  </si>
  <si>
    <t>Rescission</t>
  </si>
  <si>
    <t>FY06 after rescission</t>
  </si>
  <si>
    <t>Carryover from FY05</t>
  </si>
  <si>
    <t>Total contingency available for FY06</t>
  </si>
  <si>
    <t>Ratios by Territory</t>
  </si>
  <si>
    <t>Territory Allotments</t>
  </si>
  <si>
    <t>American Samoa</t>
  </si>
  <si>
    <t>Guam</t>
  </si>
  <si>
    <t>Northern Marianas</t>
  </si>
  <si>
    <t>Puerto Rico</t>
  </si>
  <si>
    <t>Virgin Islands</t>
  </si>
  <si>
    <t>Block Grant Allotment Ratios</t>
  </si>
  <si>
    <t>Based on Unweighted LI Fuel Usage</t>
  </si>
  <si>
    <t>Total % HH Using OIL, LPG &amp; NG (Col. C + D + E)</t>
  </si>
  <si>
    <t>Weighted</t>
  </si>
  <si>
    <t>Not Weighted</t>
  </si>
  <si>
    <t>Difference</t>
  </si>
  <si>
    <t>by Old Formula</t>
  </si>
  <si>
    <t>At All</t>
  </si>
  <si>
    <t>(Not Weighted Minus</t>
  </si>
  <si>
    <t>Percents</t>
  </si>
  <si>
    <t>Weighted)</t>
  </si>
  <si>
    <t>Low Income Fuel Usage</t>
  </si>
  <si>
    <t>LIHEAP $100m</t>
  </si>
  <si>
    <t>29-DEC-05</t>
  </si>
  <si>
    <t>OCS/DEA/12-29-05</t>
  </si>
  <si>
    <t>TOTAL</t>
  </si>
  <si>
    <t>State</t>
  </si>
  <si>
    <t>Gross Allotments</t>
  </si>
  <si>
    <t>Tribal Set-Aside</t>
  </si>
  <si>
    <t>Request</t>
  </si>
  <si>
    <t>Allocation</t>
  </si>
  <si>
    <t>STATES</t>
  </si>
  <si>
    <t>TRIBES</t>
  </si>
  <si>
    <t>TERRITORIES</t>
  </si>
  <si>
    <t>SOURCE FOR ALLOTMENT CALCULATIONS</t>
  </si>
  <si>
    <t xml:space="preserve">    A=State/Tribe Agreement On:</t>
  </si>
  <si>
    <t>C=Census Count of Eligible Households</t>
  </si>
  <si>
    <t xml:space="preserve">      #=Household Numbers</t>
  </si>
  <si>
    <t>D=Documented Tribal Eligible</t>
  </si>
  <si>
    <t xml:space="preserve">      %=Percent of State Allotment</t>
  </si>
  <si>
    <t xml:space="preserve">  Household Number </t>
  </si>
  <si>
    <t xml:space="preserve">      $=Dollar Amount</t>
  </si>
  <si>
    <t>TRIBAL</t>
  </si>
  <si>
    <t xml:space="preserve">       STATE</t>
  </si>
  <si>
    <t xml:space="preserve">    STATE</t>
  </si>
  <si>
    <t xml:space="preserve">  TRIBAL </t>
  </si>
  <si>
    <t xml:space="preserve">   STATE GROSS</t>
  </si>
  <si>
    <t xml:space="preserve">  PERCENTAGE OF</t>
  </si>
  <si>
    <t xml:space="preserve"> GRANT</t>
  </si>
  <si>
    <t xml:space="preserve">      TRIBAL</t>
  </si>
  <si>
    <t xml:space="preserve">    STATE NET</t>
  </si>
  <si>
    <t xml:space="preserve">    HHLD #</t>
  </si>
  <si>
    <t xml:space="preserve">  HHLD #</t>
  </si>
  <si>
    <t>SOURCE</t>
  </si>
  <si>
    <t xml:space="preserve">   ALLOTMENT</t>
  </si>
  <si>
    <t xml:space="preserve">  STATE SHARE</t>
  </si>
  <si>
    <t xml:space="preserve"> AMOUNT</t>
  </si>
  <si>
    <t xml:space="preserve">     SET-ASIDE</t>
  </si>
  <si>
    <t xml:space="preserve">    ALLOTMENT</t>
  </si>
  <si>
    <t xml:space="preserve">  Ma-Chis Lower Creek Indian Tribe</t>
  </si>
  <si>
    <t>A/#</t>
  </si>
  <si>
    <t xml:space="preserve">  Mowa Band of Choctaw Indians </t>
  </si>
  <si>
    <t>A/%</t>
  </si>
  <si>
    <t xml:space="preserve">  Poarch Band of Creek Indians </t>
  </si>
  <si>
    <t xml:space="preserve">  United Cherokee Ani-Yun-Wiya Nation </t>
  </si>
  <si>
    <t xml:space="preserve">  Aleutian/Pribilof Islands Association</t>
  </si>
  <si>
    <t xml:space="preserve">  Assn. of Village Council Presidents</t>
  </si>
  <si>
    <t xml:space="preserve">  Kenaitze Indian Tribe</t>
  </si>
  <si>
    <t xml:space="preserve">  Kuskokwim Native Association</t>
  </si>
  <si>
    <t xml:space="preserve">  Orutsararmuit Native Council</t>
  </si>
  <si>
    <t xml:space="preserve">  Seldovia Village</t>
  </si>
  <si>
    <t xml:space="preserve">  Tanana Chiefs Conference</t>
  </si>
  <si>
    <t xml:space="preserve">  Tlingit &amp; Haida Central Council</t>
  </si>
  <si>
    <t xml:space="preserve">  Cocopah Tribe</t>
  </si>
  <si>
    <t xml:space="preserve">  Colorado River Indian Tribes</t>
  </si>
  <si>
    <t xml:space="preserve">  Fort Mojave (ITCC-CA)</t>
  </si>
  <si>
    <t xml:space="preserve">  Gila River Pima-Maricopa Community</t>
  </si>
  <si>
    <t xml:space="preserve">  Navajo Nation</t>
  </si>
  <si>
    <t xml:space="preserve">  Pascua Yaqui Tribe</t>
  </si>
  <si>
    <t xml:space="preserve">  Quechan Tribe </t>
  </si>
  <si>
    <t xml:space="preserve">  Salt River Pima Maricopa Ind. Cmty.</t>
  </si>
  <si>
    <t xml:space="preserve">  San Carlos Apache Tribe</t>
  </si>
  <si>
    <t xml:space="preserve">  White Mountain Apache Tribe</t>
  </si>
  <si>
    <t xml:space="preserve">  Berry Creek Rancheria</t>
  </si>
  <si>
    <t xml:space="preserve">  Colorado River Indian Tribes (Ariz.)</t>
  </si>
  <si>
    <t xml:space="preserve">  Coyote Valley Pomo Band</t>
  </si>
  <si>
    <t xml:space="preserve">  Enterprise Rancheria</t>
  </si>
  <si>
    <t xml:space="preserve">  Hoopa Valley Tribe</t>
  </si>
  <si>
    <t xml:space="preserve">  Hopland Band</t>
  </si>
  <si>
    <t xml:space="preserve">  Inter-Tribal Council of California</t>
  </si>
  <si>
    <t xml:space="preserve">  Karuk Tribe</t>
  </si>
  <si>
    <t xml:space="preserve">  Mooretown Rancheria</t>
  </si>
  <si>
    <t xml:space="preserve">  N. Cal. Ind. Devel. Council, Inc.(NCIDC)</t>
  </si>
  <si>
    <t xml:space="preserve">  Pinoleville Rancheria</t>
  </si>
  <si>
    <t xml:space="preserve">  Pit River Tribe</t>
  </si>
  <si>
    <t xml:space="preserve">  Quartz Valley</t>
  </si>
  <si>
    <t xml:space="preserve">  Quechan Tribe (Ariz.)</t>
  </si>
  <si>
    <t xml:space="preserve">  Redding Rancheria</t>
  </si>
  <si>
    <t xml:space="preserve">  Redwood Valley</t>
  </si>
  <si>
    <t xml:space="preserve">  Riverside-San Bernardino Indian Health</t>
  </si>
  <si>
    <t xml:space="preserve">  Round Valley</t>
  </si>
  <si>
    <t xml:space="preserve">  Sherwood Valley Rancheria</t>
  </si>
  <si>
    <t xml:space="preserve">  Shingle Springs Rancheria</t>
  </si>
  <si>
    <t xml:space="preserve">  Smith River Rancheria</t>
  </si>
  <si>
    <t xml:space="preserve">  S. Cal. Tribal Chairmen's Association</t>
  </si>
  <si>
    <t xml:space="preserve">  Southern Indian Health Council</t>
  </si>
  <si>
    <t xml:space="preserve">  Yurok Tribe</t>
  </si>
  <si>
    <t xml:space="preserve">  Southern Ute Tribe</t>
  </si>
  <si>
    <t>A/$</t>
  </si>
  <si>
    <t xml:space="preserve">  Poarch Band of Creek Indians (Ala.)</t>
  </si>
  <si>
    <t xml:space="preserve">  Coeur d'Alene Tribe</t>
  </si>
  <si>
    <t>C</t>
  </si>
  <si>
    <t xml:space="preserve">  Nez Perce Tribe</t>
  </si>
  <si>
    <t xml:space="preserve">  Shoshone-Bannock Tribes (Fort Hall) </t>
  </si>
  <si>
    <t xml:space="preserve">  Pokagon Band (Mich.)</t>
  </si>
  <si>
    <t xml:space="preserve">  United Tribes of Kansas &amp; SE Nebraska</t>
  </si>
  <si>
    <t xml:space="preserve">  Aroostook Band of Micmac Indians</t>
  </si>
  <si>
    <t xml:space="preserve">  Houlton Band of Maliseet Indians</t>
  </si>
  <si>
    <t xml:space="preserve">  Passamaquoddy Tribe--Indian Township</t>
  </si>
  <si>
    <t xml:space="preserve">  Passamaquoddy Tribe--Pleasant Point</t>
  </si>
  <si>
    <t xml:space="preserve">  Penobscot Tribe</t>
  </si>
  <si>
    <t xml:space="preserve">  Mashpee Wampanoag Tribe</t>
  </si>
  <si>
    <t xml:space="preserve">  Grand Traverse Ottawa/Chippewa Band</t>
  </si>
  <si>
    <t xml:space="preserve">  Inter-Tribal Council of Michigan </t>
  </si>
  <si>
    <t xml:space="preserve">  Keweenaw Bay Indian Community</t>
  </si>
  <si>
    <t xml:space="preserve">  Little River Band of Ottawa Indians</t>
  </si>
  <si>
    <t xml:space="preserve">  Pokagon Band of Potawatomi Indians</t>
  </si>
  <si>
    <t xml:space="preserve">  Sault Ste. Marie Chippewa Tribe</t>
  </si>
  <si>
    <t xml:space="preserve">  Mississippi Band of Choctaw Indians </t>
  </si>
  <si>
    <t xml:space="preserve">  Assiniboine &amp; Sioux Tribes (Fort Peck)</t>
  </si>
  <si>
    <t xml:space="preserve">  Blackfeet Tribe</t>
  </si>
  <si>
    <t xml:space="preserve">  Chippewa-Cree Tribe</t>
  </si>
  <si>
    <t xml:space="preserve">  Confederated Salish &amp; Kootenai Tribes </t>
  </si>
  <si>
    <t xml:space="preserve">  Fort Belknap Community</t>
  </si>
  <si>
    <t xml:space="preserve">  Northern Cheyenne Tribe</t>
  </si>
  <si>
    <t xml:space="preserve">  United Tribes of Ks. &amp; SE Neb. (Kansas)</t>
  </si>
  <si>
    <t xml:space="preserve">  Powhatan Renape Nation</t>
  </si>
  <si>
    <t xml:space="preserve">  Five Sandoval Indian Pueblos</t>
  </si>
  <si>
    <t xml:space="preserve">  Jicarilla Apache Tribe</t>
  </si>
  <si>
    <t xml:space="preserve">  Navajo Nation (Ariz.)</t>
  </si>
  <si>
    <t xml:space="preserve">  Pueblo of Jemez</t>
  </si>
  <si>
    <t xml:space="preserve">  Pueblo of Zuni</t>
  </si>
  <si>
    <t xml:space="preserve">  Seneca Nation</t>
  </si>
  <si>
    <t xml:space="preserve">  St. Regis Mohawk Band</t>
  </si>
  <si>
    <t xml:space="preserve">  Lumbee Tribe</t>
  </si>
  <si>
    <t xml:space="preserve">  Spirit Lake Tribe </t>
  </si>
  <si>
    <t xml:space="preserve">  Standing Rock Sioux Tribe</t>
  </si>
  <si>
    <t xml:space="preserve">  Three Affiliated Tribes (Fort Berthold)</t>
  </si>
  <si>
    <t xml:space="preserve">  Turtle Mountain Chippewa Band</t>
  </si>
  <si>
    <t xml:space="preserve">  Absentee Shawnee Tribe</t>
  </si>
  <si>
    <t xml:space="preserve">  Alabama-Quassarte Tribal Town</t>
  </si>
  <si>
    <t xml:space="preserve">  Apache Tribe of Oklahoma</t>
  </si>
  <si>
    <t xml:space="preserve">  Caddo Indian Tribe</t>
  </si>
  <si>
    <t xml:space="preserve">  Cherokee Nation of Oklahoma</t>
  </si>
  <si>
    <t xml:space="preserve">  Cheyenne-Arapaho Tribes</t>
  </si>
  <si>
    <t xml:space="preserve">  Chickasaw Nation of Oklahoma</t>
  </si>
  <si>
    <t xml:space="preserve">  Choctaw Nation of Oklahoma</t>
  </si>
  <si>
    <t xml:space="preserve">  Citizen Band Potawatomi  </t>
  </si>
  <si>
    <t xml:space="preserve">  Comanche Indian Tribe</t>
  </si>
  <si>
    <t xml:space="preserve">  Delaware Nation of Western Oklahoma</t>
  </si>
  <si>
    <t xml:space="preserve">  Eastern Shawnee Tribe of Oklahoma</t>
  </si>
  <si>
    <t xml:space="preserve">  Kickapoo Tribe of Oklahoma</t>
  </si>
  <si>
    <t xml:space="preserve">  Kiowa Indian Tribe</t>
  </si>
  <si>
    <t xml:space="preserve">  Miami Tribe</t>
  </si>
  <si>
    <t xml:space="preserve">  Modoc Tribe of Oklahoma</t>
  </si>
  <si>
    <t xml:space="preserve">  Muscogee (Creek) Nation</t>
  </si>
  <si>
    <t xml:space="preserve">  Osage Tribe</t>
  </si>
  <si>
    <t xml:space="preserve">  Otoe-Missouria Tribe</t>
  </si>
  <si>
    <t xml:space="preserve">  Ottawa Tribe of Oklahoma</t>
  </si>
  <si>
    <t xml:space="preserve">  Pawnee Tribe</t>
  </si>
  <si>
    <t xml:space="preserve">  Ponca Tribe</t>
  </si>
  <si>
    <t xml:space="preserve">  Quapaw Tribe</t>
  </si>
  <si>
    <t xml:space="preserve">  Sac &amp; Fox Tribe of Oklahoma</t>
  </si>
  <si>
    <t xml:space="preserve">  Seminole Nation of Oklahoma</t>
  </si>
  <si>
    <t xml:space="preserve">  Seneca-Cayuga Tribe</t>
  </si>
  <si>
    <t xml:space="preserve">  Shawnee Tribe</t>
  </si>
  <si>
    <t xml:space="preserve">  Tonkawa Tribe </t>
  </si>
  <si>
    <t xml:space="preserve">  United Keetowah</t>
  </si>
  <si>
    <t xml:space="preserve">  Wichita &amp; Affiliated Tribes</t>
  </si>
  <si>
    <t xml:space="preserve">         </t>
  </si>
  <si>
    <t xml:space="preserve">  Conf. Tribes of Grand Ronde</t>
  </si>
  <si>
    <t xml:space="preserve">  Conf. Tribes of Siletz Indians</t>
  </si>
  <si>
    <t xml:space="preserve">  Conf. Tribes of Warm Springs</t>
  </si>
  <si>
    <t xml:space="preserve">  Cow Creek Band of Umpqua Indians</t>
  </si>
  <si>
    <t xml:space="preserve">  Klamath Tribe</t>
  </si>
  <si>
    <t xml:space="preserve">  Narragansett Indian Tribe</t>
  </si>
  <si>
    <t xml:space="preserve">  Cheyenne River Sioux Tribe</t>
  </si>
  <si>
    <t xml:space="preserve">  Lower Brule Sioux Tribe</t>
  </si>
  <si>
    <t xml:space="preserve">  Oglala Sioux Tribe</t>
  </si>
  <si>
    <t xml:space="preserve">  Rosebud Sioux Tribe</t>
  </si>
  <si>
    <t xml:space="preserve">  Sisseton-Wahpeton Sioux Tribe</t>
  </si>
  <si>
    <t xml:space="preserve">  Standing Rock Sioux Tribe (N. Dak.)</t>
  </si>
  <si>
    <t xml:space="preserve">  Yankton Sioux Tribe</t>
  </si>
  <si>
    <t xml:space="preserve">  Paiute Indian Tribe of Utah</t>
  </si>
  <si>
    <t xml:space="preserve">  Ute Tribe (Uintah &amp; Ouray)</t>
  </si>
  <si>
    <t xml:space="preserve">  Colville Confederated Tribes</t>
  </si>
  <si>
    <t xml:space="preserve">  Hoh Tribe</t>
  </si>
  <si>
    <t xml:space="preserve">  Jamestown S'Klallam Tribe</t>
  </si>
  <si>
    <t xml:space="preserve">  Kalispel Indian Community</t>
  </si>
  <si>
    <t xml:space="preserve">  Lower Elwha Klallam Tribe</t>
  </si>
  <si>
    <t xml:space="preserve">  Lummi Indian Tribe</t>
  </si>
  <si>
    <t xml:space="preserve">  Makah Indian Tribe</t>
  </si>
  <si>
    <t xml:space="preserve">  Muckleshoot Indian Tribe</t>
  </si>
  <si>
    <t xml:space="preserve">  Nooksack Indian Tribe</t>
  </si>
  <si>
    <t xml:space="preserve">  Port Gamble S'Klallam Tribe </t>
  </si>
  <si>
    <t xml:space="preserve">  Puyallup Tribe</t>
  </si>
  <si>
    <t xml:space="preserve">  Quileute Tribe</t>
  </si>
  <si>
    <t xml:space="preserve">  Quinault Tribe</t>
  </si>
  <si>
    <t xml:space="preserve">  Samish Tribe</t>
  </si>
  <si>
    <t xml:space="preserve">  Small Tribes Organization of W. Wash.</t>
  </si>
  <si>
    <t xml:space="preserve">  South Puget Intertribal Planning Agency</t>
  </si>
  <si>
    <t xml:space="preserve">  Spokane Tribe</t>
  </si>
  <si>
    <t xml:space="preserve">  Swinomish Indians</t>
  </si>
  <si>
    <t xml:space="preserve">  Tulalip Tribes</t>
  </si>
  <si>
    <t xml:space="preserve">  Yakama Indian Nation</t>
  </si>
  <si>
    <t xml:space="preserve">  Northern Arapaho Nation</t>
  </si>
  <si>
    <t xml:space="preserve"> TOTALS FOR STATES WITH TRIBES FUNDED DIRECTLY BY HHS</t>
  </si>
  <si>
    <t>APPROPRIATION</t>
  </si>
  <si>
    <t>SHARE BASED ON FY06</t>
  </si>
  <si>
    <t xml:space="preserve"> PERCENTAGE OF STATE</t>
  </si>
  <si>
    <t>04-JAN-06</t>
  </si>
  <si>
    <t>Allocation to States and Territories</t>
  </si>
  <si>
    <t>Gross State Allotments and Allotments Net of Tribal Set-asides</t>
  </si>
  <si>
    <t>Allocation net of Territory Allotments</t>
  </si>
  <si>
    <t>Gross State Allotments (Net of Territory Allotments) and Allotments Net of Tribal Set-asides</t>
  </si>
  <si>
    <t>ALLOTMENT</t>
  </si>
  <si>
    <t>Total Territorial Allotments</t>
  </si>
  <si>
    <t>Total State Allotments</t>
  </si>
  <si>
    <t>Total Tribal Allotments</t>
  </si>
  <si>
    <t>Summary of Tribal, State, and Territorial Net Allotments</t>
  </si>
  <si>
    <t>TRIBAL ALLOTMENT</t>
  </si>
  <si>
    <t>STATE NET ALLOTMENT</t>
  </si>
  <si>
    <t>TERRITORIAL ALLOTMENT</t>
  </si>
  <si>
    <t>Page 1 of 5</t>
  </si>
  <si>
    <t>Page 2 of 5</t>
  </si>
  <si>
    <t>Page 3 of 5</t>
  </si>
  <si>
    <t>Page 4 of 5</t>
  </si>
  <si>
    <t>Page 5 of 5</t>
  </si>
  <si>
    <t>Appropriation</t>
  </si>
  <si>
    <t>$100.000,000</t>
  </si>
  <si>
    <t>Total to States</t>
  </si>
  <si>
    <t>Tribes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</si>
</sst>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%\ \c\o\l\d\e\r"/>
    <numFmt numFmtId="166" formatCode="0%\ \c\o\l\d\e\r;0%\ \w\a\r\m\e\r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_);_(* \(#,##0.0\);_(* &quot;-&quot;??_);_(@_)"/>
    <numFmt numFmtId="172" formatCode="_(* #,##0_);_(* \(#,##0\);_(* &quot;-&quot;??_);_(@_)"/>
    <numFmt numFmtId="173" formatCode="0.0"/>
    <numFmt numFmtId="174" formatCode="00000"/>
    <numFmt numFmtId="175" formatCode="#\ ?/10"/>
    <numFmt numFmtId="176" formatCode="&quot;$&quot;#,##0"/>
    <numFmt numFmtId="177" formatCode="0.0000%"/>
    <numFmt numFmtId="178" formatCode="0.000%"/>
    <numFmt numFmtId="179" formatCode="0.00000%"/>
    <numFmt numFmtId="180" formatCode="dd\-mmm\-yy"/>
    <numFmt numFmtId="181" formatCode="0.00000000_)"/>
    <numFmt numFmtId="182" formatCode="0.00000000%"/>
    <numFmt numFmtId="183" formatCode="0.00000000E+00"/>
    <numFmt numFmtId="184" formatCode="0.00000000"/>
    <numFmt numFmtId="185" formatCode="0.000000%"/>
    <numFmt numFmtId="186" formatCode="0.0000000%"/>
    <numFmt numFmtId="187" formatCode="0.000000000%"/>
    <numFmt numFmtId="188" formatCode="#,##0.00000000"/>
    <numFmt numFmtId="189" formatCode="&quot;$&quot;#,##0.00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$&quot;#,##0.0000000"/>
    <numFmt numFmtId="195" formatCode="&quot;$&quot;#,##0.000000"/>
    <numFmt numFmtId="196" formatCode="&quot;$&quot;#,##0.00000"/>
    <numFmt numFmtId="197" formatCode="&quot;$&quot;#,##0.0000"/>
    <numFmt numFmtId="198" formatCode="&quot;$&quot;#,##0.000"/>
    <numFmt numFmtId="199" formatCode="&quot;$&quot;#,##0.00"/>
    <numFmt numFmtId="200" formatCode="&quot;$&quot;#,##0.0"/>
    <numFmt numFmtId="201" formatCode="_(&quot;$&quot;* #,##0_);_(&quot;$&quot;* \(#,##0\);_(&quot;$&quot;* &quot;-&quot;??_);_(@_)"/>
    <numFmt numFmtId="202" formatCode="#,##0.00000000_);\(#,##0.00000000\)"/>
    <numFmt numFmtId="203" formatCode="#,##0.0000000"/>
    <numFmt numFmtId="204" formatCode="#,##0.000000"/>
    <numFmt numFmtId="205" formatCode="#,##0.00000"/>
    <numFmt numFmtId="206" formatCode="#,##0.0000"/>
    <numFmt numFmtId="207" formatCode="#,##0.000"/>
    <numFmt numFmtId="208" formatCode="#,##0.0"/>
    <numFmt numFmtId="209" formatCode="0_)"/>
    <numFmt numFmtId="210" formatCode="&quot;$&quot;#,##0.00000000_);\(&quot;$&quot;#,##0.00000000\)"/>
    <numFmt numFmtId="211" formatCode="#,##0.0000000000"/>
    <numFmt numFmtId="212" formatCode="0.000000000"/>
    <numFmt numFmtId="213" formatCode="&quot;$&quot;#,##0.000000000_);\(&quot;$&quot;#,##0.000000000\)"/>
    <numFmt numFmtId="214" formatCode="0.000_)"/>
    <numFmt numFmtId="215" formatCode="0.00_)"/>
    <numFmt numFmtId="216" formatCode="0.0000_)"/>
    <numFmt numFmtId="217" formatCode="0.00000_)"/>
    <numFmt numFmtId="218" formatCode="&quot;$&quot;#,##0.000_);\(&quot;$&quot;#,##0.000\)"/>
    <numFmt numFmtId="219" formatCode="dd\-mmm\-yy_)"/>
    <numFmt numFmtId="220" formatCode="General_)"/>
    <numFmt numFmtId="221" formatCode="&quot;$&quot;#,##0.0_);\(&quot;$&quot;#,##0.0\)"/>
    <numFmt numFmtId="222" formatCode="&quot;$&quot;#,##0.0000_);\(&quot;$&quot;#,##0.0000\)"/>
    <numFmt numFmtId="223" formatCode="#,##0.00000_);\(#,##0.00000\)"/>
    <numFmt numFmtId="224" formatCode="#,##0.0_);\(#,##0.0\)"/>
    <numFmt numFmtId="225" formatCode="#,##0.000_);\(#,##0.000\)"/>
    <numFmt numFmtId="226" formatCode="#,##0.0000_);\(#,##0.0000\)"/>
    <numFmt numFmtId="227" formatCode="&quot;$&quot;#,##0.000000_);\(&quot;$&quot;#,##0.000000\)"/>
  </numFmts>
  <fonts count="23">
    <font>
      <sz val="10"/>
      <name val="Times New Roman"/>
      <family val="0"/>
    </font>
    <font>
      <sz val="8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1.5"/>
      <color indexed="12"/>
      <name val="Times New Roman"/>
      <family val="0"/>
    </font>
    <font>
      <u val="single"/>
      <sz val="11.5"/>
      <color indexed="36"/>
      <name val="Times New Roman"/>
      <family val="0"/>
    </font>
    <font>
      <sz val="10"/>
      <color indexed="9"/>
      <name val="Arial"/>
      <family val="2"/>
    </font>
    <font>
      <sz val="10"/>
      <name val="Courier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8"/>
      <name val="Courier"/>
      <family val="0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7" fontId="16" fillId="0" borderId="0">
      <alignment/>
      <protection/>
    </xf>
    <xf numFmtId="0" fontId="16" fillId="0" borderId="0">
      <alignment/>
      <protection/>
    </xf>
    <xf numFmtId="37" fontId="16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81" fontId="2" fillId="0" borderId="0" xfId="0" applyNumberFormat="1" applyFont="1" applyAlignment="1" applyProtection="1">
      <alignment/>
      <protection/>
    </xf>
    <xf numFmtId="176" fontId="3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1" fontId="6" fillId="0" borderId="0" xfId="0" applyNumberFormat="1" applyFont="1" applyAlignment="1" applyProtection="1">
      <alignment/>
      <protection/>
    </xf>
    <xf numFmtId="9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3" fillId="0" borderId="0" xfId="0" applyNumberFormat="1" applyFont="1" applyAlignment="1" quotePrefix="1">
      <alignment/>
    </xf>
    <xf numFmtId="0" fontId="10" fillId="0" borderId="0" xfId="27" applyFont="1" applyFill="1" applyAlignment="1">
      <alignment/>
      <protection/>
    </xf>
    <xf numFmtId="0" fontId="11" fillId="0" borderId="0" xfId="27" applyFont="1" applyFill="1">
      <alignment/>
      <protection/>
    </xf>
    <xf numFmtId="0" fontId="11" fillId="0" borderId="1" xfId="27" applyFont="1" applyFill="1" applyBorder="1" applyAlignment="1">
      <alignment horizontal="center"/>
      <protection/>
    </xf>
    <xf numFmtId="0" fontId="2" fillId="0" borderId="0" xfId="27" applyBorder="1" applyAlignment="1">
      <alignment/>
      <protection/>
    </xf>
    <xf numFmtId="0" fontId="10" fillId="0" borderId="0" xfId="27" applyFont="1" applyFill="1" applyBorder="1" applyAlignment="1">
      <alignment wrapText="1"/>
      <protection/>
    </xf>
    <xf numFmtId="0" fontId="11" fillId="0" borderId="0" xfId="27" applyFont="1" applyFill="1" applyBorder="1" applyAlignment="1">
      <alignment horizontal="center"/>
      <protection/>
    </xf>
    <xf numFmtId="0" fontId="10" fillId="0" borderId="0" xfId="27" applyFont="1" applyFill="1">
      <alignment/>
      <protection/>
    </xf>
    <xf numFmtId="3" fontId="10" fillId="0" borderId="0" xfId="27" applyNumberFormat="1" applyFont="1" applyFill="1" applyAlignment="1">
      <alignment/>
      <protection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9" fontId="15" fillId="0" borderId="0" xfId="0" applyNumberFormat="1" applyFont="1" applyFill="1" applyAlignment="1">
      <alignment horizontal="center"/>
    </xf>
    <xf numFmtId="0" fontId="2" fillId="0" borderId="0" xfId="0" applyFont="1" applyAlignment="1">
      <alignment wrapText="1"/>
    </xf>
    <xf numFmtId="5" fontId="2" fillId="0" borderId="0" xfId="0" applyNumberFormat="1" applyFont="1" applyAlignment="1">
      <alignment/>
    </xf>
    <xf numFmtId="0" fontId="2" fillId="0" borderId="0" xfId="0" applyFont="1" applyAlignment="1">
      <alignment horizontal="left" wrapText="1" indent="2"/>
    </xf>
    <xf numFmtId="0" fontId="2" fillId="0" borderId="2" xfId="0" applyFont="1" applyBorder="1" applyAlignment="1">
      <alignment wrapText="1"/>
    </xf>
    <xf numFmtId="5" fontId="2" fillId="0" borderId="2" xfId="0" applyNumberFormat="1" applyFont="1" applyBorder="1" applyAlignment="1">
      <alignment/>
    </xf>
    <xf numFmtId="37" fontId="2" fillId="0" borderId="0" xfId="24" applyNumberFormat="1" applyFont="1" applyBorder="1" applyAlignment="1" applyProtection="1">
      <alignment horizontal="center"/>
      <protection/>
    </xf>
    <xf numFmtId="5" fontId="2" fillId="0" borderId="0" xfId="24" applyNumberFormat="1" applyFont="1" applyBorder="1" applyProtection="1">
      <alignment/>
      <protection/>
    </xf>
    <xf numFmtId="37" fontId="2" fillId="0" borderId="0" xfId="24" applyNumberFormat="1" applyFont="1" applyBorder="1" applyAlignment="1" applyProtection="1">
      <alignment horizontal="left"/>
      <protection/>
    </xf>
    <xf numFmtId="202" fontId="2" fillId="0" borderId="0" xfId="24" applyNumberFormat="1" applyFont="1" applyBorder="1" applyProtection="1">
      <alignment/>
      <protection/>
    </xf>
    <xf numFmtId="3" fontId="2" fillId="0" borderId="0" xfId="0" applyNumberFormat="1" applyFont="1" applyAlignment="1">
      <alignment/>
    </xf>
    <xf numFmtId="176" fontId="2" fillId="0" borderId="0" xfId="0" applyNumberFormat="1" applyFont="1" applyAlignment="1" quotePrefix="1">
      <alignment/>
    </xf>
    <xf numFmtId="0" fontId="3" fillId="0" borderId="3" xfId="0" applyFont="1" applyBorder="1" applyAlignment="1">
      <alignment/>
    </xf>
    <xf numFmtId="176" fontId="3" fillId="0" borderId="3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17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5" fontId="7" fillId="0" borderId="0" xfId="0" applyNumberFormat="1" applyFont="1" applyAlignment="1" quotePrefix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37" fontId="3" fillId="0" borderId="0" xfId="24" applyFont="1">
      <alignment/>
      <protection/>
    </xf>
    <xf numFmtId="37" fontId="2" fillId="0" borderId="0" xfId="24" applyFont="1">
      <alignment/>
      <protection/>
    </xf>
    <xf numFmtId="37" fontId="2" fillId="0" borderId="0" xfId="24" applyNumberFormat="1" applyFont="1" applyAlignment="1" applyProtection="1">
      <alignment horizontal="left"/>
      <protection/>
    </xf>
    <xf numFmtId="37" fontId="3" fillId="0" borderId="0" xfId="24" applyFont="1" applyAlignment="1" quotePrefix="1">
      <alignment horizontal="right"/>
      <protection/>
    </xf>
    <xf numFmtId="37" fontId="2" fillId="0" borderId="4" xfId="24" applyNumberFormat="1" applyFont="1" applyBorder="1" applyAlignment="1" applyProtection="1">
      <alignment horizontal="center"/>
      <protection/>
    </xf>
    <xf numFmtId="37" fontId="2" fillId="0" borderId="0" xfId="24" applyFont="1" applyAlignment="1">
      <alignment horizontal="center"/>
      <protection/>
    </xf>
    <xf numFmtId="5" fontId="2" fillId="0" borderId="0" xfId="24" applyNumberFormat="1" applyFont="1" applyAlignment="1">
      <alignment horizontal="center"/>
      <protection/>
    </xf>
    <xf numFmtId="5" fontId="2" fillId="0" borderId="0" xfId="24" applyNumberFormat="1" applyFont="1" applyProtection="1">
      <alignment/>
      <protection/>
    </xf>
    <xf numFmtId="9" fontId="2" fillId="0" borderId="0" xfId="28" applyNumberFormat="1" applyFont="1" applyAlignment="1">
      <alignment/>
    </xf>
    <xf numFmtId="5" fontId="2" fillId="0" borderId="0" xfId="24" applyNumberFormat="1" applyFont="1">
      <alignment/>
      <protection/>
    </xf>
    <xf numFmtId="37" fontId="2" fillId="0" borderId="5" xfId="24" applyNumberFormat="1" applyFont="1" applyBorder="1" applyAlignment="1" applyProtection="1">
      <alignment horizontal="left"/>
      <protection/>
    </xf>
    <xf numFmtId="5" fontId="2" fillId="0" borderId="5" xfId="24" applyNumberFormat="1" applyFont="1" applyBorder="1" applyProtection="1">
      <alignment/>
      <protection/>
    </xf>
    <xf numFmtId="37" fontId="2" fillId="0" borderId="0" xfId="24" applyNumberFormat="1" applyFont="1" applyAlignment="1" applyProtection="1">
      <alignment horizontal="center"/>
      <protection/>
    </xf>
    <xf numFmtId="37" fontId="2" fillId="0" borderId="0" xfId="26" applyNumberFormat="1" applyFont="1" applyAlignment="1" applyProtection="1">
      <alignment horizontal="left"/>
      <protection/>
    </xf>
    <xf numFmtId="37" fontId="2" fillId="0" borderId="0" xfId="26" applyFont="1">
      <alignment/>
      <protection/>
    </xf>
    <xf numFmtId="37" fontId="2" fillId="0" borderId="0" xfId="26" applyNumberFormat="1" applyFont="1" applyAlignment="1" applyProtection="1">
      <alignment horizontal="center"/>
      <protection/>
    </xf>
    <xf numFmtId="5" fontId="2" fillId="0" borderId="0" xfId="26" applyNumberFormat="1" applyFont="1" applyProtection="1">
      <alignment/>
      <protection/>
    </xf>
    <xf numFmtId="37" fontId="2" fillId="0" borderId="0" xfId="26" applyNumberFormat="1" applyFont="1" applyProtection="1">
      <alignment/>
      <protection/>
    </xf>
    <xf numFmtId="185" fontId="2" fillId="0" borderId="0" xfId="26" applyNumberFormat="1" applyFont="1" applyProtection="1">
      <alignment/>
      <protection/>
    </xf>
    <xf numFmtId="3" fontId="2" fillId="0" borderId="0" xfId="26" applyNumberFormat="1" applyFont="1" applyProtection="1">
      <alignment/>
      <protection/>
    </xf>
    <xf numFmtId="220" fontId="2" fillId="0" borderId="0" xfId="26" applyNumberFormat="1" applyFont="1" applyProtection="1">
      <alignment/>
      <protection/>
    </xf>
    <xf numFmtId="37" fontId="2" fillId="0" borderId="0" xfId="26" applyFont="1" applyAlignment="1">
      <alignment horizontal="right"/>
      <protection/>
    </xf>
    <xf numFmtId="5" fontId="2" fillId="0" borderId="0" xfId="26" applyNumberFormat="1" applyFont="1">
      <alignment/>
      <protection/>
    </xf>
    <xf numFmtId="37" fontId="2" fillId="0" borderId="0" xfId="26" applyFont="1" applyAlignment="1">
      <alignment horizontal="center"/>
      <protection/>
    </xf>
    <xf numFmtId="177" fontId="2" fillId="0" borderId="0" xfId="26" applyNumberFormat="1" applyFont="1" applyProtection="1">
      <alignment/>
      <protection/>
    </xf>
    <xf numFmtId="185" fontId="2" fillId="0" borderId="0" xfId="26" applyNumberFormat="1" applyFont="1" applyAlignment="1" applyProtection="1">
      <alignment horizontal="right"/>
      <protection/>
    </xf>
    <xf numFmtId="5" fontId="2" fillId="0" borderId="0" xfId="26" applyNumberFormat="1" applyFont="1" applyAlignment="1" applyProtection="1">
      <alignment horizontal="left"/>
      <protection/>
    </xf>
    <xf numFmtId="37" fontId="2" fillId="0" borderId="0" xfId="26" applyNumberFormat="1" applyFont="1" applyAlignment="1" applyProtection="1">
      <alignment horizontal="right"/>
      <protection/>
    </xf>
    <xf numFmtId="181" fontId="2" fillId="0" borderId="0" xfId="26" applyNumberFormat="1" applyFont="1" applyProtection="1">
      <alignment/>
      <protection/>
    </xf>
    <xf numFmtId="37" fontId="2" fillId="0" borderId="0" xfId="26" applyNumberFormat="1" applyFont="1" applyFill="1" applyAlignment="1" applyProtection="1">
      <alignment horizontal="left"/>
      <protection/>
    </xf>
    <xf numFmtId="37" fontId="2" fillId="0" borderId="0" xfId="26" applyNumberFormat="1" applyFont="1" applyFill="1" applyProtection="1">
      <alignment/>
      <protection/>
    </xf>
    <xf numFmtId="37" fontId="2" fillId="0" borderId="0" xfId="26" applyNumberFormat="1" applyFont="1" applyFill="1" applyAlignment="1" applyProtection="1">
      <alignment horizontal="center"/>
      <protection/>
    </xf>
    <xf numFmtId="5" fontId="2" fillId="0" borderId="0" xfId="26" applyNumberFormat="1" applyFont="1" applyFill="1" applyProtection="1">
      <alignment/>
      <protection/>
    </xf>
    <xf numFmtId="185" fontId="2" fillId="0" borderId="0" xfId="26" applyNumberFormat="1" applyFont="1" applyFill="1" applyAlignment="1" applyProtection="1">
      <alignment horizontal="right"/>
      <protection/>
    </xf>
    <xf numFmtId="37" fontId="2" fillId="0" borderId="0" xfId="26" applyFont="1" applyFill="1">
      <alignment/>
      <protection/>
    </xf>
    <xf numFmtId="185" fontId="2" fillId="0" borderId="0" xfId="26" applyNumberFormat="1" applyFont="1" applyAlignment="1">
      <alignment/>
      <protection/>
    </xf>
    <xf numFmtId="185" fontId="2" fillId="0" borderId="0" xfId="26" applyNumberFormat="1" applyFont="1" applyAlignment="1" applyProtection="1">
      <alignment/>
      <protection/>
    </xf>
    <xf numFmtId="37" fontId="2" fillId="0" borderId="0" xfId="26" applyFont="1" applyAlignment="1">
      <alignment/>
      <protection/>
    </xf>
    <xf numFmtId="177" fontId="2" fillId="0" borderId="0" xfId="26" applyNumberFormat="1" applyFont="1" applyAlignment="1" applyProtection="1">
      <alignment/>
      <protection/>
    </xf>
    <xf numFmtId="9" fontId="2" fillId="0" borderId="0" xfId="28" applyNumberFormat="1" applyFont="1" applyAlignment="1">
      <alignment horizontal="center"/>
    </xf>
    <xf numFmtId="15" fontId="22" fillId="0" borderId="0" xfId="0" applyNumberFormat="1" applyFont="1" applyAlignment="1">
      <alignment horizontal="left"/>
    </xf>
    <xf numFmtId="0" fontId="7" fillId="0" borderId="0" xfId="0" applyFont="1" applyAlignment="1">
      <alignment wrapText="1"/>
    </xf>
    <xf numFmtId="176" fontId="3" fillId="0" borderId="0" xfId="0" applyNumberFormat="1" applyFont="1" applyAlignment="1">
      <alignment horizontal="left"/>
    </xf>
    <xf numFmtId="37" fontId="2" fillId="0" borderId="0" xfId="24" applyFont="1" applyAlignment="1">
      <alignment wrapText="1"/>
      <protection/>
    </xf>
    <xf numFmtId="37" fontId="2" fillId="0" borderId="4" xfId="24" applyNumberFormat="1" applyFont="1" applyBorder="1" applyAlignment="1" applyProtection="1">
      <alignment horizontal="center" wrapText="1"/>
      <protection/>
    </xf>
    <xf numFmtId="0" fontId="16" fillId="0" borderId="0" xfId="25">
      <alignment/>
      <protection/>
    </xf>
    <xf numFmtId="37" fontId="2" fillId="0" borderId="0" xfId="24" applyNumberFormat="1" applyFont="1" applyAlignment="1" applyProtection="1">
      <alignment horizontal="center" vertical="top" wrapText="1"/>
      <protection/>
    </xf>
    <xf numFmtId="37" fontId="3" fillId="0" borderId="0" xfId="24" applyNumberFormat="1" applyFont="1" applyAlignment="1" applyProtection="1">
      <alignment horizontal="left" wrapText="1"/>
      <protection/>
    </xf>
    <xf numFmtId="37" fontId="2" fillId="0" borderId="0" xfId="24" applyNumberFormat="1" applyFont="1" applyAlignment="1" applyProtection="1">
      <alignment horizontal="left" wrapText="1"/>
      <protection/>
    </xf>
    <xf numFmtId="37" fontId="3" fillId="0" borderId="3" xfId="24" applyNumberFormat="1" applyFont="1" applyFill="1" applyBorder="1" applyAlignment="1" applyProtection="1">
      <alignment horizontal="left" wrapText="1"/>
      <protection/>
    </xf>
    <xf numFmtId="5" fontId="3" fillId="0" borderId="3" xfId="24" applyNumberFormat="1" applyFont="1" applyBorder="1" applyProtection="1">
      <alignment/>
      <protection/>
    </xf>
    <xf numFmtId="37" fontId="2" fillId="0" borderId="0" xfId="24" applyNumberFormat="1" applyFont="1" applyAlignment="1" applyProtection="1">
      <alignment horizontal="center" wrapText="1"/>
      <protection/>
    </xf>
    <xf numFmtId="37" fontId="2" fillId="0" borderId="0" xfId="24" applyNumberFormat="1" applyFont="1" applyBorder="1" applyAlignment="1" applyProtection="1">
      <alignment horizontal="left" wrapText="1"/>
      <protection/>
    </xf>
    <xf numFmtId="5" fontId="16" fillId="0" borderId="0" xfId="25" applyNumberFormat="1">
      <alignment/>
      <protection/>
    </xf>
    <xf numFmtId="5" fontId="2" fillId="0" borderId="0" xfId="24" applyNumberFormat="1" applyFont="1" applyAlignment="1">
      <alignment horizontal="right"/>
      <protection/>
    </xf>
    <xf numFmtId="0" fontId="7" fillId="0" borderId="0" xfId="0" applyFont="1" applyAlignment="1">
      <alignment horizontal="left" wrapText="1"/>
    </xf>
    <xf numFmtId="15" fontId="7" fillId="0" borderId="0" xfId="0" applyNumberFormat="1" applyFont="1" applyAlignment="1" quotePrefix="1">
      <alignment horizontal="center"/>
    </xf>
    <xf numFmtId="0" fontId="7" fillId="0" borderId="0" xfId="0" applyFont="1" applyAlignment="1">
      <alignment horizontal="center" wrapText="1"/>
    </xf>
    <xf numFmtId="15" fontId="2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 quotePrefix="1">
      <alignment horizontal="center" wrapText="1"/>
    </xf>
    <xf numFmtId="0" fontId="12" fillId="0" borderId="0" xfId="27" applyFont="1" applyBorder="1" applyAlignment="1">
      <alignment/>
      <protection/>
    </xf>
    <xf numFmtId="0" fontId="2" fillId="0" borderId="0" xfId="27" applyAlignment="1">
      <alignment/>
      <protection/>
    </xf>
    <xf numFmtId="0" fontId="12" fillId="0" borderId="0" xfId="27" applyFont="1" applyBorder="1" applyAlignment="1">
      <alignment wrapText="1"/>
      <protection/>
    </xf>
    <xf numFmtId="0" fontId="2" fillId="0" borderId="0" xfId="27" applyAlignment="1">
      <alignment wrapText="1"/>
      <protection/>
    </xf>
    <xf numFmtId="0" fontId="9" fillId="0" borderId="6" xfId="27" applyFont="1" applyFill="1" applyBorder="1" applyAlignment="1">
      <alignment wrapText="1"/>
      <protection/>
    </xf>
    <xf numFmtId="0" fontId="8" fillId="0" borderId="6" xfId="27" applyFont="1" applyFill="1" applyBorder="1" applyAlignment="1">
      <alignment wrapText="1"/>
      <protection/>
    </xf>
    <xf numFmtId="0" fontId="11" fillId="0" borderId="7" xfId="27" applyFont="1" applyFill="1" applyBorder="1" applyAlignment="1">
      <alignment horizontal="center" wrapText="1"/>
      <protection/>
    </xf>
    <xf numFmtId="0" fontId="10" fillId="0" borderId="8" xfId="27" applyFont="1" applyFill="1" applyBorder="1" applyAlignment="1">
      <alignment wrapText="1"/>
      <protection/>
    </xf>
    <xf numFmtId="0" fontId="11" fillId="0" borderId="7" xfId="27" applyFont="1" applyFill="1" applyBorder="1" applyAlignment="1">
      <alignment horizontal="center"/>
      <protection/>
    </xf>
    <xf numFmtId="0" fontId="2" fillId="0" borderId="8" xfId="27" applyBorder="1" applyAlignment="1">
      <alignment/>
      <protection/>
    </xf>
    <xf numFmtId="0" fontId="11" fillId="0" borderId="9" xfId="27" applyFont="1" applyFill="1" applyBorder="1" applyAlignment="1">
      <alignment horizontal="center"/>
      <protection/>
    </xf>
    <xf numFmtId="0" fontId="2" fillId="0" borderId="10" xfId="27" applyBorder="1" applyAlignment="1">
      <alignment horizontal="center"/>
      <protection/>
    </xf>
    <xf numFmtId="0" fontId="2" fillId="0" borderId="11" xfId="27" applyBorder="1" applyAlignment="1">
      <alignment horizontal="center"/>
      <protection/>
    </xf>
    <xf numFmtId="0" fontId="17" fillId="0" borderId="0" xfId="0" applyFont="1" applyAlignment="1">
      <alignment horizontal="center"/>
    </xf>
  </cellXfs>
  <cellStyles count="15">
    <cellStyle name="Normal" xfId="0"/>
    <cellStyle name="Book11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Followed Hyperlink" xfId="22"/>
    <cellStyle name="Hyperlink" xfId="23"/>
    <cellStyle name="Normal_2005-LIHEAP Allocations-$1.884B-FINAL" xfId="24"/>
    <cellStyle name="Normal_2006-$2B State_Tribe approp (with 1% rescission)(2)" xfId="25"/>
    <cellStyle name="Normal_2006-LIHEAP Alloc-$2 0B (2)" xfId="26"/>
    <cellStyle name="Normal_Census 2000 - Table 11-Census Heaters Info" xfId="27"/>
    <cellStyle name="Percent" xfId="28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delman\Local%20Settings\Temporary%20Internet%20Files\OLK126\2006-$2B%20State_Tribe%20approp%20(with%201%%20rescission)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es"/>
      <sheetName val="Tribes"/>
      <sheetName val="summary"/>
      <sheetName val="correc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71"/>
  <sheetViews>
    <sheetView tabSelected="1" workbookViewId="0" topLeftCell="A1">
      <selection activeCell="A5" sqref="A5"/>
    </sheetView>
  </sheetViews>
  <sheetFormatPr defaultColWidth="9.33203125" defaultRowHeight="12.75"/>
  <cols>
    <col min="1" max="1" width="20.16015625" style="1" customWidth="1"/>
    <col min="2" max="2" width="19.16015625" style="1" bestFit="1" customWidth="1"/>
    <col min="3" max="3" width="19.16015625" style="2" customWidth="1"/>
    <col min="4" max="4" width="16.83203125" style="1" customWidth="1"/>
    <col min="5" max="5" width="14.33203125" style="1" bestFit="1" customWidth="1"/>
    <col min="6" max="6" width="17.16015625" style="1" customWidth="1"/>
    <col min="7" max="7" width="20.83203125" style="1" customWidth="1"/>
    <col min="8" max="8" width="20.66015625" style="1" customWidth="1"/>
    <col min="9" max="9" width="20.83203125" style="1" customWidth="1"/>
    <col min="10" max="10" width="16" style="2" hidden="1" customWidth="1"/>
    <col min="11" max="16384" width="9.33203125" style="1" customWidth="1"/>
  </cols>
  <sheetData>
    <row r="1" spans="1:10" ht="39" customHeight="1">
      <c r="A1" s="107" t="str">
        <f>"Allocation of $ "&amp;TEXT(E2/1000000,"$0.00")&amp;" Million in FY 2006 LIHEAP Emergency Funds to Reflect Low Income Household Usage of FO, LPG &amp; NG Weighted by FY06 Block Grant Percents"</f>
        <v>Allocation of $ $100.00 Million in FY 2006 LIHEAP Emergency Funds to Reflect Low Income Household Usage of FO, LPG &amp; NG Weighted by FY06 Block Grant Percents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8" customHeight="1">
      <c r="A2" s="92" t="s">
        <v>317</v>
      </c>
      <c r="B2" s="47"/>
      <c r="C2" s="47"/>
      <c r="D2" s="3" t="s">
        <v>88</v>
      </c>
      <c r="E2" s="8">
        <v>100000000</v>
      </c>
      <c r="F2" s="47"/>
      <c r="G2" s="47"/>
      <c r="H2" s="47"/>
      <c r="I2" s="47"/>
      <c r="J2" s="47"/>
    </row>
    <row r="3" spans="1:10" ht="15">
      <c r="A3" s="108" t="s">
        <v>316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ht="12.75">
      <c r="A4" s="3" t="str">
        <f aca="true" t="shared" si="0" ref="A4:I4">IF(COLUMN()&lt;=26,CHAR(64+COLUMN()),CHAR(64+ROUNDDOWN((COLUMN()-1)/26,0))&amp;CHAR(65+MOD((COLUMN()-1),26)))</f>
        <v>A</v>
      </c>
      <c r="B4" s="3" t="str">
        <f t="shared" si="0"/>
        <v>B</v>
      </c>
      <c r="C4" s="3" t="str">
        <f t="shared" si="0"/>
        <v>C</v>
      </c>
      <c r="D4" s="3" t="str">
        <f t="shared" si="0"/>
        <v>D</v>
      </c>
      <c r="E4" s="3" t="str">
        <f t="shared" si="0"/>
        <v>E</v>
      </c>
      <c r="F4" s="3" t="str">
        <f t="shared" si="0"/>
        <v>F</v>
      </c>
      <c r="G4" s="3" t="str">
        <f t="shared" si="0"/>
        <v>G</v>
      </c>
      <c r="H4" s="3" t="str">
        <f t="shared" si="0"/>
        <v>H</v>
      </c>
      <c r="I4" s="4" t="str">
        <f t="shared" si="0"/>
        <v>I</v>
      </c>
      <c r="J4" s="4" t="str">
        <f>IF((COLUMN()/26)=1,CHAR(64+COLUMN()),IF(ROUNDDOWN(COLUMN()/26,0)&lt;1,CHAR(64+COLUMN()),CHAR(64+ROUNDDOWN(COLUMN()/26,0))&amp;CHAR(64+MOD(COLUMN(),26))))</f>
        <v>J</v>
      </c>
    </row>
    <row r="5" spans="2:9" s="48" customFormat="1" ht="56.25">
      <c r="B5" s="49" t="s">
        <v>106</v>
      </c>
      <c r="C5" s="50" t="s">
        <v>89</v>
      </c>
      <c r="D5" s="50" t="s">
        <v>90</v>
      </c>
      <c r="E5" s="50" t="s">
        <v>91</v>
      </c>
      <c r="F5" s="50" t="s">
        <v>108</v>
      </c>
      <c r="G5" s="50" t="str">
        <f>"Factor Based on OIL, LPG &amp; NG and Block Grant Ratio (Col."&amp;F4&amp;" X Col. "&amp;B4&amp;")"</f>
        <v>Factor Based on OIL, LPG &amp; NG and Block Grant Ratio (Col.F X Col. B)</v>
      </c>
      <c r="H5" s="50" t="str">
        <f>"Share Based on OIL-LPG-NG and Block Grant Ratio (Col "&amp;G4&amp;" Div. by total for Col "&amp;G4&amp;")"</f>
        <v>Share Based on OIL-LPG-NG and Block Grant Ratio (Col G Div. by total for Col G)</v>
      </c>
      <c r="I5" s="51" t="str">
        <f>"100% Award Based on OIL-LPG-NG and Block Grant Ratio ("&amp;TEXT(C63/1000000,"$0.00")&amp;" Million X Col. "&amp;H4&amp;")"</f>
        <v>100% Award Based on OIL-LPG-NG and Block Grant Ratio ($99.86 Million X Col. H)</v>
      </c>
    </row>
    <row r="6" spans="3:10" ht="12.75">
      <c r="C6" s="5"/>
      <c r="D6" s="5"/>
      <c r="E6" s="5"/>
      <c r="F6" s="5"/>
      <c r="G6" s="5"/>
      <c r="H6" s="5"/>
      <c r="I6" s="6"/>
      <c r="J6" s="1"/>
    </row>
    <row r="7" spans="1:10" ht="12.75">
      <c r="A7" s="1" t="s">
        <v>12</v>
      </c>
      <c r="B7" s="7">
        <v>0.00860045</v>
      </c>
      <c r="C7" s="9">
        <f>heater_data!F20/heater_data!B20</f>
        <v>0.007138133758481063</v>
      </c>
      <c r="D7" s="9">
        <f>heater_data!D20/heater_data!B20</f>
        <v>0.17627023452573987</v>
      </c>
      <c r="E7" s="9">
        <f>heater_data!C20/heater_data!B20</f>
        <v>0.36775882528783527</v>
      </c>
      <c r="F7" s="9">
        <f aca="true" t="shared" si="1" ref="F7:F38">SUM(C7:E7)</f>
        <v>0.5511671935720562</v>
      </c>
      <c r="G7" s="10">
        <f aca="true" t="shared" si="2" ref="G7:G38">B7*F7</f>
        <v>0.004740285889956792</v>
      </c>
      <c r="H7" s="11">
        <f aca="true" t="shared" si="3" ref="H7:H38">G7/G$59</f>
        <v>0.006626035426520132</v>
      </c>
      <c r="I7" s="8">
        <f>ROUND(H7*$C$63,0)</f>
        <v>661706</v>
      </c>
      <c r="J7" s="1"/>
    </row>
    <row r="8" spans="1:10" ht="12.75">
      <c r="A8" s="1" t="s">
        <v>1</v>
      </c>
      <c r="B8" s="7">
        <v>0.00548986</v>
      </c>
      <c r="C8" s="9">
        <f>heater_data!F21/heater_data!B21</f>
        <v>0.376902780596712</v>
      </c>
      <c r="D8" s="9">
        <f>heater_data!D21/heater_data!B21</f>
        <v>0.02668966916988025</v>
      </c>
      <c r="E8" s="9">
        <f>heater_data!C21/heater_data!B21</f>
        <v>0.33620864623503144</v>
      </c>
      <c r="F8" s="9">
        <f t="shared" si="1"/>
        <v>0.7398010960016237</v>
      </c>
      <c r="G8" s="10">
        <f t="shared" si="2"/>
        <v>0.004061404444895474</v>
      </c>
      <c r="H8" s="11">
        <f t="shared" si="3"/>
        <v>0.005677085804111498</v>
      </c>
      <c r="I8" s="8">
        <f aca="true" t="shared" si="4" ref="I8:I57">ROUND(H8*$C$63,0)</f>
        <v>566940</v>
      </c>
      <c r="J8" s="1"/>
    </row>
    <row r="9" spans="1:10" ht="12.75">
      <c r="A9" s="1" t="s">
        <v>13</v>
      </c>
      <c r="B9" s="7">
        <v>0.00415928</v>
      </c>
      <c r="C9" s="9">
        <f>heater_data!F22/heater_data!B22</f>
        <v>0.0013770499265952725</v>
      </c>
      <c r="D9" s="9">
        <f>heater_data!D22/heater_data!B22</f>
        <v>0.0718114465852576</v>
      </c>
      <c r="E9" s="9">
        <f>heater_data!C22/heater_data!B22</f>
        <v>0.36997120713789844</v>
      </c>
      <c r="F9" s="9">
        <f t="shared" si="1"/>
        <v>0.4431597036497513</v>
      </c>
      <c r="G9" s="10">
        <f t="shared" si="2"/>
        <v>0.0018432252921963374</v>
      </c>
      <c r="H9" s="11">
        <f t="shared" si="3"/>
        <v>0.0025764851253016257</v>
      </c>
      <c r="I9" s="8">
        <f t="shared" si="4"/>
        <v>257300</v>
      </c>
      <c r="J9" s="1"/>
    </row>
    <row r="10" spans="1:10" ht="12.75">
      <c r="A10" s="1" t="s">
        <v>14</v>
      </c>
      <c r="B10" s="7">
        <v>0.00656255</v>
      </c>
      <c r="C10" s="9">
        <f>heater_data!F23/heater_data!B23</f>
        <v>0.001561393634597578</v>
      </c>
      <c r="D10" s="9">
        <f>heater_data!D23/heater_data!B23</f>
        <v>0.1618221100600955</v>
      </c>
      <c r="E10" s="9">
        <f>heater_data!C23/heater_data!B23</f>
        <v>0.46039325332703934</v>
      </c>
      <c r="F10" s="9">
        <f t="shared" si="1"/>
        <v>0.6237767570217324</v>
      </c>
      <c r="G10" s="10">
        <f t="shared" si="2"/>
        <v>0.00409356615679297</v>
      </c>
      <c r="H10" s="11">
        <f t="shared" si="3"/>
        <v>0.005722041877934354</v>
      </c>
      <c r="I10" s="8">
        <f t="shared" si="4"/>
        <v>571429</v>
      </c>
      <c r="J10" s="1"/>
    </row>
    <row r="11" spans="1:10" ht="12.75">
      <c r="A11" s="1" t="s">
        <v>15</v>
      </c>
      <c r="B11" s="7">
        <v>0.04613891</v>
      </c>
      <c r="C11" s="9">
        <f>heater_data!F24/heater_data!B24</f>
        <v>0.0035464671481736016</v>
      </c>
      <c r="D11" s="9">
        <f>heater_data!D24/heater_data!B24</f>
        <v>0.04141489127193039</v>
      </c>
      <c r="E11" s="9">
        <f>heater_data!C24/heater_data!B24</f>
        <v>0.6447746340071837</v>
      </c>
      <c r="F11" s="9">
        <f t="shared" si="1"/>
        <v>0.6897359924272877</v>
      </c>
      <c r="G11" s="10">
        <f t="shared" si="2"/>
        <v>0.031823666878363306</v>
      </c>
      <c r="H11" s="11">
        <f t="shared" si="3"/>
        <v>0.04448354994464958</v>
      </c>
      <c r="I11" s="8">
        <f t="shared" si="4"/>
        <v>4442331</v>
      </c>
      <c r="J11" s="1"/>
    </row>
    <row r="12" spans="1:10" ht="12.75">
      <c r="A12" s="1" t="s">
        <v>16</v>
      </c>
      <c r="B12" s="7">
        <v>0.0160872</v>
      </c>
      <c r="C12" s="9">
        <f>heater_data!F25/heater_data!B25</f>
        <v>0.001823398151099777</v>
      </c>
      <c r="D12" s="9">
        <f>heater_data!D25/heater_data!B25</f>
        <v>0.07004144086707045</v>
      </c>
      <c r="E12" s="9">
        <f>heater_data!C25/heater_data!B25</f>
        <v>0.6743512910423972</v>
      </c>
      <c r="F12" s="9">
        <f t="shared" si="1"/>
        <v>0.7462161300605674</v>
      </c>
      <c r="G12" s="10">
        <f t="shared" si="2"/>
        <v>0.01200452812751036</v>
      </c>
      <c r="H12" s="11">
        <f t="shared" si="3"/>
        <v>0.016780091010980366</v>
      </c>
      <c r="I12" s="8">
        <f t="shared" si="4"/>
        <v>1675737</v>
      </c>
      <c r="J12" s="1"/>
    </row>
    <row r="13" spans="1:10" ht="12.75">
      <c r="A13" s="1" t="s">
        <v>2</v>
      </c>
      <c r="B13" s="7">
        <v>0.02098632</v>
      </c>
      <c r="C13" s="9">
        <f>heater_data!F26/heater_data!B26</f>
        <v>0.41850758563877255</v>
      </c>
      <c r="D13" s="9">
        <f>heater_data!D26/heater_data!B26</f>
        <v>0.03094666025949063</v>
      </c>
      <c r="E13" s="9">
        <f>heater_data!C26/heater_data!B26</f>
        <v>0.3371318734125077</v>
      </c>
      <c r="F13" s="9">
        <f t="shared" si="1"/>
        <v>0.7865861193107708</v>
      </c>
      <c r="G13" s="10">
        <f t="shared" si="2"/>
        <v>0.016507548007414014</v>
      </c>
      <c r="H13" s="11">
        <f t="shared" si="3"/>
        <v>0.023074472814782924</v>
      </c>
      <c r="I13" s="8">
        <f t="shared" si="4"/>
        <v>2304322</v>
      </c>
      <c r="J13" s="1"/>
    </row>
    <row r="14" spans="1:10" ht="12.75">
      <c r="A14" s="1" t="s">
        <v>3</v>
      </c>
      <c r="B14" s="7">
        <v>0.00278553</v>
      </c>
      <c r="C14" s="9">
        <f>heater_data!F27/heater_data!B27</f>
        <v>0.28111737505542533</v>
      </c>
      <c r="D14" s="9">
        <f>heater_data!D27/heater_data!B27</f>
        <v>0.10800025337302845</v>
      </c>
      <c r="E14" s="9">
        <f>heater_data!C27/heater_data!B27</f>
        <v>0.309938557040603</v>
      </c>
      <c r="F14" s="9">
        <f t="shared" si="1"/>
        <v>0.6990561854690568</v>
      </c>
      <c r="G14" s="10">
        <f t="shared" si="2"/>
        <v>0.0019472419763096219</v>
      </c>
      <c r="H14" s="11">
        <f t="shared" si="3"/>
        <v>0.002721881046535832</v>
      </c>
      <c r="I14" s="8">
        <f t="shared" si="4"/>
        <v>271819</v>
      </c>
      <c r="J14" s="1"/>
    </row>
    <row r="15" spans="1:10" ht="12.75">
      <c r="A15" s="1" t="s">
        <v>82</v>
      </c>
      <c r="B15" s="7">
        <v>0.00325921</v>
      </c>
      <c r="C15" s="9">
        <f>heater_data!F28/heater_data!B28</f>
        <v>0.06038647342995169</v>
      </c>
      <c r="D15" s="9">
        <f>heater_data!D28/heater_data!B28</f>
        <v>0.023282340311325818</v>
      </c>
      <c r="E15" s="9">
        <f>heater_data!C28/heater_data!B28</f>
        <v>0.605475040257649</v>
      </c>
      <c r="F15" s="9">
        <f t="shared" si="1"/>
        <v>0.6891438539989265</v>
      </c>
      <c r="G15" s="10">
        <f t="shared" si="2"/>
        <v>0.0022460645403918414</v>
      </c>
      <c r="H15" s="11">
        <f t="shared" si="3"/>
        <v>0.0031395792490951755</v>
      </c>
      <c r="I15" s="8">
        <f t="shared" si="4"/>
        <v>313533</v>
      </c>
      <c r="J15" s="1"/>
    </row>
    <row r="16" spans="1:10" ht="12.75">
      <c r="A16" s="1" t="s">
        <v>17</v>
      </c>
      <c r="B16" s="7">
        <v>0.01360848</v>
      </c>
      <c r="C16" s="9">
        <f>heater_data!F29/heater_data!B29</f>
        <v>0.014197600159656739</v>
      </c>
      <c r="D16" s="9">
        <f>heater_data!D29/heater_data!B29</f>
        <v>0.05587674000898069</v>
      </c>
      <c r="E16" s="9">
        <f>heater_data!C29/heater_data!B29</f>
        <v>0.06462044105173877</v>
      </c>
      <c r="F16" s="9">
        <f t="shared" si="1"/>
        <v>0.1346947812203762</v>
      </c>
      <c r="G16" s="10">
        <f t="shared" si="2"/>
        <v>0.001832991236341865</v>
      </c>
      <c r="H16" s="11">
        <f t="shared" si="3"/>
        <v>0.0025621798242664306</v>
      </c>
      <c r="I16" s="8">
        <f t="shared" si="4"/>
        <v>255871</v>
      </c>
      <c r="J16" s="1"/>
    </row>
    <row r="17" spans="1:10" ht="12.75">
      <c r="A17" s="1" t="s">
        <v>18</v>
      </c>
      <c r="B17" s="7">
        <v>0.01075959</v>
      </c>
      <c r="C17" s="9">
        <f>heater_data!F30/heater_data!B30</f>
        <v>0.011070274944680419</v>
      </c>
      <c r="D17" s="9">
        <f>heater_data!D30/heater_data!B30</f>
        <v>0.15116870564895593</v>
      </c>
      <c r="E17" s="9">
        <f>heater_data!C30/heater_data!B30</f>
        <v>0.40750820255868964</v>
      </c>
      <c r="F17" s="9">
        <f t="shared" si="1"/>
        <v>0.569747183152326</v>
      </c>
      <c r="G17" s="10">
        <f t="shared" si="2"/>
        <v>0.006130246094373935</v>
      </c>
      <c r="H17" s="11">
        <f t="shared" si="3"/>
        <v>0.008568940510670047</v>
      </c>
      <c r="I17" s="8">
        <f t="shared" si="4"/>
        <v>855734</v>
      </c>
      <c r="J17" s="1"/>
    </row>
    <row r="18" spans="1:10" ht="12.75">
      <c r="A18" s="1" t="s">
        <v>19</v>
      </c>
      <c r="B18" s="7">
        <v>0.00108355</v>
      </c>
      <c r="C18" s="9">
        <f>heater_data!F31/heater_data!B31</f>
        <v>0.0016432626232446967</v>
      </c>
      <c r="D18" s="9">
        <f>heater_data!D31/heater_data!B31</f>
        <v>0.03580320685190718</v>
      </c>
      <c r="E18" s="9">
        <f>heater_data!C31/heater_data!B31</f>
        <v>0.04063340304750523</v>
      </c>
      <c r="F18" s="9">
        <f t="shared" si="1"/>
        <v>0.0780798725226571</v>
      </c>
      <c r="G18" s="10">
        <f t="shared" si="2"/>
        <v>8.46034458719251E-05</v>
      </c>
      <c r="H18" s="11">
        <f t="shared" si="3"/>
        <v>0.00011825983549658098</v>
      </c>
      <c r="I18" s="8">
        <f t="shared" si="4"/>
        <v>11810</v>
      </c>
      <c r="J18" s="1"/>
    </row>
    <row r="19" spans="1:10" ht="12.75">
      <c r="A19" s="1" t="s">
        <v>20</v>
      </c>
      <c r="B19" s="7">
        <v>0.00627508</v>
      </c>
      <c r="C19" s="9">
        <f>heater_data!F32/heater_data!B32</f>
        <v>0.05865934163306898</v>
      </c>
      <c r="D19" s="9">
        <f>heater_data!D32/heater_data!B32</f>
        <v>0.06021000398741748</v>
      </c>
      <c r="E19" s="9">
        <f>heater_data!C32/heater_data!B32</f>
        <v>0.33941783704753886</v>
      </c>
      <c r="F19" s="9">
        <f t="shared" si="1"/>
        <v>0.4582871826680253</v>
      </c>
      <c r="G19" s="10">
        <f t="shared" si="2"/>
        <v>0.002875788734216472</v>
      </c>
      <c r="H19" s="11">
        <f t="shared" si="3"/>
        <v>0.004019816204013704</v>
      </c>
      <c r="I19" s="8">
        <f t="shared" si="4"/>
        <v>401437</v>
      </c>
      <c r="J19" s="1"/>
    </row>
    <row r="20" spans="1:10" ht="12.75">
      <c r="A20" s="1" t="s">
        <v>21</v>
      </c>
      <c r="B20" s="7">
        <v>0.05808651</v>
      </c>
      <c r="C20" s="9">
        <f>heater_data!F33/heater_data!B33</f>
        <v>0.007007472362494882</v>
      </c>
      <c r="D20" s="9">
        <f>heater_data!D33/heater_data!B33</f>
        <v>0.05193547836768118</v>
      </c>
      <c r="E20" s="9">
        <f>heater_data!C33/heater_data!B33</f>
        <v>0.7501108912242391</v>
      </c>
      <c r="F20" s="9">
        <f t="shared" si="1"/>
        <v>0.8090538419544152</v>
      </c>
      <c r="G20" s="10">
        <f t="shared" si="2"/>
        <v>0.04699511408122356</v>
      </c>
      <c r="H20" s="11">
        <f t="shared" si="3"/>
        <v>0.06569040306941926</v>
      </c>
      <c r="I20" s="8">
        <f t="shared" si="4"/>
        <v>6560144</v>
      </c>
      <c r="J20" s="1"/>
    </row>
    <row r="21" spans="1:10" ht="12.75">
      <c r="A21" s="1" t="s">
        <v>22</v>
      </c>
      <c r="B21" s="7">
        <v>0.02629994</v>
      </c>
      <c r="C21" s="9">
        <f>heater_data!F34/heater_data!B34</f>
        <v>0.028352850968911193</v>
      </c>
      <c r="D21" s="9">
        <f>heater_data!D34/heater_data!B34</f>
        <v>0.07679841070681723</v>
      </c>
      <c r="E21" s="9">
        <f>heater_data!C34/heater_data!B34</f>
        <v>0.6173933500627352</v>
      </c>
      <c r="F21" s="9">
        <f t="shared" si="1"/>
        <v>0.7225446117384636</v>
      </c>
      <c r="G21" s="10">
        <f t="shared" si="2"/>
        <v>0.01900287993604489</v>
      </c>
      <c r="H21" s="11">
        <f t="shared" si="3"/>
        <v>0.026562481374575866</v>
      </c>
      <c r="I21" s="8">
        <f t="shared" si="4"/>
        <v>2652651</v>
      </c>
      <c r="J21" s="1"/>
    </row>
    <row r="22" spans="1:10" ht="12.75">
      <c r="A22" s="1" t="s">
        <v>23</v>
      </c>
      <c r="B22" s="7">
        <v>0.01863912</v>
      </c>
      <c r="C22" s="9">
        <f>heater_data!F35/heater_data!B35</f>
        <v>0.02477176776242197</v>
      </c>
      <c r="D22" s="9">
        <f>heater_data!D35/heater_data!B35</f>
        <v>0.14274889041244182</v>
      </c>
      <c r="E22" s="9">
        <f>heater_data!C35/heater_data!B35</f>
        <v>0.6166600512394905</v>
      </c>
      <c r="F22" s="9">
        <f t="shared" si="1"/>
        <v>0.7841807094143542</v>
      </c>
      <c r="G22" s="10">
        <f t="shared" si="2"/>
        <v>0.014616438344459278</v>
      </c>
      <c r="H22" s="11">
        <f t="shared" si="3"/>
        <v>0.020431054271458134</v>
      </c>
      <c r="I22" s="8">
        <f t="shared" si="4"/>
        <v>2040338</v>
      </c>
      <c r="J22" s="1"/>
    </row>
    <row r="23" spans="1:10" ht="12.75">
      <c r="A23" s="1" t="s">
        <v>24</v>
      </c>
      <c r="B23" s="7">
        <v>0.00855992</v>
      </c>
      <c r="C23" s="9">
        <f>heater_data!F36/heater_data!B36</f>
        <v>0.0016023501134997996</v>
      </c>
      <c r="D23" s="9">
        <f>heater_data!D36/heater_data!B36</f>
        <v>0.08635522575968563</v>
      </c>
      <c r="E23" s="9">
        <f>heater_data!C36/heater_data!B36</f>
        <v>0.6846803883791466</v>
      </c>
      <c r="F23" s="9">
        <f t="shared" si="1"/>
        <v>0.772637964252332</v>
      </c>
      <c r="G23" s="10">
        <f t="shared" si="2"/>
        <v>0.006613719162962822</v>
      </c>
      <c r="H23" s="11">
        <f t="shared" si="3"/>
        <v>0.009244745674030682</v>
      </c>
      <c r="I23" s="8">
        <f t="shared" si="4"/>
        <v>923223</v>
      </c>
      <c r="J23" s="1"/>
    </row>
    <row r="24" spans="1:10" ht="12.75">
      <c r="A24" s="1" t="s">
        <v>25</v>
      </c>
      <c r="B24" s="7">
        <v>0.0136864</v>
      </c>
      <c r="C24" s="9">
        <f>heater_data!F37/heater_data!B37</f>
        <v>0.04116937531742001</v>
      </c>
      <c r="D24" s="9">
        <f>heater_data!D37/heater_data!B37</f>
        <v>0.10410318266463518</v>
      </c>
      <c r="E24" s="9">
        <f>heater_data!C37/heater_data!B37</f>
        <v>0.3637210089724056</v>
      </c>
      <c r="F24" s="9">
        <f t="shared" si="1"/>
        <v>0.5089935669544607</v>
      </c>
      <c r="G24" s="10">
        <f t="shared" si="2"/>
        <v>0.006966289554765531</v>
      </c>
      <c r="H24" s="11">
        <f t="shared" si="3"/>
        <v>0.009737573313683473</v>
      </c>
      <c r="I24" s="8">
        <f t="shared" si="4"/>
        <v>972439</v>
      </c>
      <c r="J24" s="1"/>
    </row>
    <row r="25" spans="1:10" ht="12.75">
      <c r="A25" s="1" t="s">
        <v>26</v>
      </c>
      <c r="B25" s="7">
        <v>0.00879264</v>
      </c>
      <c r="C25" s="9">
        <f>heater_data!F38/heater_data!B38</f>
        <v>0.002251584448315481</v>
      </c>
      <c r="D25" s="9">
        <f>heater_data!D38/heater_data!B38</f>
        <v>0.06554612505096179</v>
      </c>
      <c r="E25" s="9">
        <f>heater_data!C38/heater_data!B38</f>
        <v>0.4709517808828435</v>
      </c>
      <c r="F25" s="9">
        <f t="shared" si="1"/>
        <v>0.5387494903821208</v>
      </c>
      <c r="G25" s="10">
        <f t="shared" si="2"/>
        <v>0.004737030319113451</v>
      </c>
      <c r="H25" s="11">
        <f t="shared" si="3"/>
        <v>0.006621484745771693</v>
      </c>
      <c r="I25" s="8">
        <f t="shared" si="4"/>
        <v>661252</v>
      </c>
      <c r="J25" s="1"/>
    </row>
    <row r="26" spans="1:10" ht="12.75">
      <c r="A26" s="1" t="s">
        <v>4</v>
      </c>
      <c r="B26" s="7">
        <v>0.01359579</v>
      </c>
      <c r="C26" s="9">
        <f>heater_data!F39/heater_data!B39</f>
        <v>0.7517375266938459</v>
      </c>
      <c r="D26" s="9">
        <f>heater_data!D39/heater_data!B39</f>
        <v>0.04950495049504951</v>
      </c>
      <c r="E26" s="9">
        <f>heater_data!C39/heater_data!B39</f>
        <v>0.04084643758493496</v>
      </c>
      <c r="F26" s="9">
        <f t="shared" si="1"/>
        <v>0.8420889147738304</v>
      </c>
      <c r="G26" s="10">
        <f t="shared" si="2"/>
        <v>0.011448864046592896</v>
      </c>
      <c r="H26" s="11">
        <f t="shared" si="3"/>
        <v>0.016003376278815252</v>
      </c>
      <c r="I26" s="8">
        <f t="shared" si="4"/>
        <v>1598170</v>
      </c>
      <c r="J26" s="1"/>
    </row>
    <row r="27" spans="1:10" ht="12.75">
      <c r="A27" s="1" t="s">
        <v>27</v>
      </c>
      <c r="B27" s="7">
        <v>0.01606896</v>
      </c>
      <c r="C27" s="9">
        <f>heater_data!F40/heater_data!B40</f>
        <v>0.1690239448051948</v>
      </c>
      <c r="D27" s="9">
        <f>heater_data!D40/heater_data!B40</f>
        <v>0.03616071428571429</v>
      </c>
      <c r="E27" s="9">
        <f>heater_data!C40/heater_data!B40</f>
        <v>0.46894277597402595</v>
      </c>
      <c r="F27" s="9">
        <f t="shared" si="1"/>
        <v>0.6741274350649351</v>
      </c>
      <c r="G27" s="10">
        <f t="shared" si="2"/>
        <v>0.01083252678896104</v>
      </c>
      <c r="H27" s="11">
        <f t="shared" si="3"/>
        <v>0.015141851763510085</v>
      </c>
      <c r="I27" s="8">
        <f t="shared" si="4"/>
        <v>1512135</v>
      </c>
      <c r="J27" s="1"/>
    </row>
    <row r="28" spans="1:10" ht="12.75">
      <c r="A28" s="1" t="s">
        <v>5</v>
      </c>
      <c r="B28" s="7">
        <v>0.04197959</v>
      </c>
      <c r="C28" s="9">
        <f>heater_data!F41/heater_data!B41</f>
        <v>0.31616630419347846</v>
      </c>
      <c r="D28" s="9">
        <f>heater_data!D41/heater_data!B41</f>
        <v>0.032929007570831746</v>
      </c>
      <c r="E28" s="9">
        <f>heater_data!C41/heater_data!B41</f>
        <v>0.4455281271720365</v>
      </c>
      <c r="F28" s="9">
        <f t="shared" si="1"/>
        <v>0.7946234389363467</v>
      </c>
      <c r="G28" s="10">
        <f t="shared" si="2"/>
        <v>0.03335796617093787</v>
      </c>
      <c r="H28" s="11">
        <f t="shared" si="3"/>
        <v>0.046628214149191154</v>
      </c>
      <c r="I28" s="8">
        <f t="shared" si="4"/>
        <v>4656507</v>
      </c>
      <c r="J28" s="1"/>
    </row>
    <row r="29" spans="1:10" ht="12.75">
      <c r="A29" s="1" t="s">
        <v>28</v>
      </c>
      <c r="B29" s="7">
        <v>0.05514805</v>
      </c>
      <c r="C29" s="9">
        <f>heater_data!F42/heater_data!B42</f>
        <v>0.03633897190306867</v>
      </c>
      <c r="D29" s="9">
        <f>heater_data!D42/heater_data!B42</f>
        <v>0.09281544817380223</v>
      </c>
      <c r="E29" s="9">
        <f>heater_data!C42/heater_data!B42</f>
        <v>0.7405915359792818</v>
      </c>
      <c r="F29" s="9">
        <f t="shared" si="1"/>
        <v>0.8697459560561527</v>
      </c>
      <c r="G29" s="10">
        <f t="shared" si="2"/>
        <v>0.04796479347188251</v>
      </c>
      <c r="H29" s="11">
        <f t="shared" si="3"/>
        <v>0.06704583397464915</v>
      </c>
      <c r="I29" s="8">
        <f t="shared" si="4"/>
        <v>6695504</v>
      </c>
      <c r="J29" s="1"/>
    </row>
    <row r="30" spans="1:10" ht="12.75">
      <c r="A30" s="1" t="s">
        <v>29</v>
      </c>
      <c r="B30" s="7">
        <v>0.03973105</v>
      </c>
      <c r="C30" s="9">
        <f>heater_data!F43/heater_data!B43</f>
        <v>0.08636864126844307</v>
      </c>
      <c r="D30" s="9">
        <f>heater_data!D43/heater_data!B43</f>
        <v>0.11913675401893856</v>
      </c>
      <c r="E30" s="9">
        <f>heater_data!C43/heater_data!B43</f>
        <v>0.5592160317110768</v>
      </c>
      <c r="F30" s="9">
        <f t="shared" si="1"/>
        <v>0.7647214269984585</v>
      </c>
      <c r="G30" s="10">
        <f t="shared" si="2"/>
        <v>0.030383185252147102</v>
      </c>
      <c r="H30" s="11">
        <f t="shared" si="3"/>
        <v>0.04247002533703421</v>
      </c>
      <c r="I30" s="8">
        <f t="shared" si="4"/>
        <v>4241251</v>
      </c>
      <c r="J30" s="1"/>
    </row>
    <row r="31" spans="1:10" ht="12.75">
      <c r="A31" s="1" t="s">
        <v>30</v>
      </c>
      <c r="B31" s="7">
        <v>0.00737355</v>
      </c>
      <c r="C31" s="9">
        <f>heater_data!F44/heater_data!B44</f>
        <v>0.0026436642697443952</v>
      </c>
      <c r="D31" s="9">
        <f>heater_data!D44/heater_data!B44</f>
        <v>0.2408906882591093</v>
      </c>
      <c r="E31" s="9">
        <f>heater_data!C44/heater_data!B44</f>
        <v>0.3619402985074627</v>
      </c>
      <c r="F31" s="9">
        <f t="shared" si="1"/>
        <v>0.6054746510363164</v>
      </c>
      <c r="G31" s="10">
        <f t="shared" si="2"/>
        <v>0.004464497613148831</v>
      </c>
      <c r="H31" s="11">
        <f t="shared" si="3"/>
        <v>0.006240534860779962</v>
      </c>
      <c r="I31" s="8">
        <f t="shared" si="4"/>
        <v>623208</v>
      </c>
      <c r="J31" s="1"/>
    </row>
    <row r="32" spans="1:10" ht="12.75">
      <c r="A32" s="1" t="s">
        <v>31</v>
      </c>
      <c r="B32" s="7">
        <v>0.02320202</v>
      </c>
      <c r="C32" s="9">
        <f>heater_data!F45/heater_data!B45</f>
        <v>0.006993412603057547</v>
      </c>
      <c r="D32" s="9">
        <f>heater_data!D45/heater_data!B45</f>
        <v>0.1600613166507851</v>
      </c>
      <c r="E32" s="9">
        <f>heater_data!C45/heater_data!B45</f>
        <v>0.5072212785350292</v>
      </c>
      <c r="F32" s="9">
        <f t="shared" si="1"/>
        <v>0.6742760077888719</v>
      </c>
      <c r="G32" s="10">
        <f t="shared" si="2"/>
        <v>0.015644565418237562</v>
      </c>
      <c r="H32" s="11">
        <f t="shared" si="3"/>
        <v>0.021868184134923287</v>
      </c>
      <c r="I32" s="8">
        <f t="shared" si="4"/>
        <v>2183857</v>
      </c>
      <c r="J32" s="1"/>
    </row>
    <row r="33" spans="1:10" ht="12.75">
      <c r="A33" s="1" t="s">
        <v>32</v>
      </c>
      <c r="B33" s="7">
        <v>0.00736027</v>
      </c>
      <c r="C33" s="9">
        <f>heater_data!F46/heater_data!B46</f>
        <v>0.03456843469806633</v>
      </c>
      <c r="D33" s="9">
        <f>heater_data!D46/heater_data!B46</f>
        <v>0.13022577508912175</v>
      </c>
      <c r="E33" s="9">
        <f>heater_data!C46/heater_data!B46</f>
        <v>0.5176082964243275</v>
      </c>
      <c r="F33" s="9">
        <f t="shared" si="1"/>
        <v>0.6824025062115155</v>
      </c>
      <c r="G33" s="10">
        <f t="shared" si="2"/>
        <v>0.005022666694393432</v>
      </c>
      <c r="H33" s="11">
        <f t="shared" si="3"/>
        <v>0.00702075111612245</v>
      </c>
      <c r="I33" s="8">
        <f t="shared" si="4"/>
        <v>701124</v>
      </c>
      <c r="J33" s="1"/>
    </row>
    <row r="34" spans="1:10" ht="12.75">
      <c r="A34" s="1" t="s">
        <v>33</v>
      </c>
      <c r="B34" s="7">
        <v>0.00921776</v>
      </c>
      <c r="C34" s="9">
        <f>heater_data!F47/heater_data!B47</f>
        <v>0.015309264744698948</v>
      </c>
      <c r="D34" s="9">
        <f>heater_data!D47/heater_data!B47</f>
        <v>0.12050913570108807</v>
      </c>
      <c r="E34" s="9">
        <f>heater_data!C47/heater_data!B47</f>
        <v>0.6260081532099598</v>
      </c>
      <c r="F34" s="9">
        <f t="shared" si="1"/>
        <v>0.7618265536557469</v>
      </c>
      <c r="G34" s="10">
        <f t="shared" si="2"/>
        <v>0.0070223343332257975</v>
      </c>
      <c r="H34" s="11">
        <f t="shared" si="3"/>
        <v>0.0098159134594405</v>
      </c>
      <c r="I34" s="8">
        <f t="shared" si="4"/>
        <v>980262</v>
      </c>
      <c r="J34" s="1"/>
    </row>
    <row r="35" spans="1:10" ht="12.75">
      <c r="A35" s="1" t="s">
        <v>34</v>
      </c>
      <c r="B35" s="7">
        <v>0.00195349</v>
      </c>
      <c r="C35" s="9">
        <f>heater_data!F48/heater_data!B48</f>
        <v>0.011933315566610406</v>
      </c>
      <c r="D35" s="9">
        <f>heater_data!D48/heater_data!B48</f>
        <v>0.05415889372538569</v>
      </c>
      <c r="E35" s="9">
        <f>heater_data!C48/heater_data!B48</f>
        <v>0.4289479138906162</v>
      </c>
      <c r="F35" s="9">
        <f t="shared" si="1"/>
        <v>0.4950401231826123</v>
      </c>
      <c r="G35" s="10">
        <f t="shared" si="2"/>
        <v>0.0009670559302360014</v>
      </c>
      <c r="H35" s="11">
        <f t="shared" si="3"/>
        <v>0.0013517637969359974</v>
      </c>
      <c r="I35" s="8">
        <f t="shared" si="4"/>
        <v>134993</v>
      </c>
      <c r="J35" s="1"/>
    </row>
    <row r="36" spans="1:10" ht="12.75">
      <c r="A36" s="1" t="s">
        <v>6</v>
      </c>
      <c r="B36" s="7">
        <v>0.00794588</v>
      </c>
      <c r="C36" s="9">
        <f>heater_data!F49/heater_data!B49</f>
        <v>0.5426211400854823</v>
      </c>
      <c r="D36" s="9">
        <f>heater_data!D49/heater_data!B49</f>
        <v>0.09210968640445662</v>
      </c>
      <c r="E36" s="9">
        <f>heater_data!C49/heater_data!B49</f>
        <v>0.18854151659222976</v>
      </c>
      <c r="F36" s="9">
        <f t="shared" si="1"/>
        <v>0.8232723430821687</v>
      </c>
      <c r="G36" s="10">
        <f t="shared" si="2"/>
        <v>0.006541623245449743</v>
      </c>
      <c r="H36" s="11">
        <f t="shared" si="3"/>
        <v>0.009143969030039388</v>
      </c>
      <c r="I36" s="8">
        <f t="shared" si="4"/>
        <v>913159</v>
      </c>
      <c r="J36" s="1"/>
    </row>
    <row r="37" spans="1:10" ht="12.75">
      <c r="A37" s="1" t="s">
        <v>7</v>
      </c>
      <c r="B37" s="7">
        <v>0.03897152</v>
      </c>
      <c r="C37" s="9">
        <f>heater_data!F50/heater_data!B50</f>
        <v>0.19562421185372006</v>
      </c>
      <c r="D37" s="9">
        <f>heater_data!D50/heater_data!B50</f>
        <v>0.03206179066834804</v>
      </c>
      <c r="E37" s="9">
        <f>heater_data!C50/heater_data!B50</f>
        <v>0.6048108448928121</v>
      </c>
      <c r="F37" s="9">
        <f t="shared" si="1"/>
        <v>0.8324968474148802</v>
      </c>
      <c r="G37" s="10">
        <f t="shared" si="2"/>
        <v>0.03244366753896595</v>
      </c>
      <c r="H37" s="11">
        <f t="shared" si="3"/>
        <v>0.045350195213940805</v>
      </c>
      <c r="I37" s="8">
        <f t="shared" si="4"/>
        <v>4528878</v>
      </c>
      <c r="J37" s="1"/>
    </row>
    <row r="38" spans="1:10" ht="12.75">
      <c r="A38" s="1" t="s">
        <v>35</v>
      </c>
      <c r="B38" s="7">
        <v>0.00520713</v>
      </c>
      <c r="C38" s="9">
        <f>heater_data!F51/heater_data!B51</f>
        <v>0.0018765868197372778</v>
      </c>
      <c r="D38" s="9">
        <f>heater_data!D51/heater_data!B51</f>
        <v>0.1723700187658682</v>
      </c>
      <c r="E38" s="9">
        <f>heater_data!C51/heater_data!B51</f>
        <v>0.6043989402803841</v>
      </c>
      <c r="F38" s="9">
        <f t="shared" si="1"/>
        <v>0.7786455458659896</v>
      </c>
      <c r="G38" s="10">
        <f t="shared" si="2"/>
        <v>0.00405450858124517</v>
      </c>
      <c r="H38" s="11">
        <f t="shared" si="3"/>
        <v>0.005667446673075082</v>
      </c>
      <c r="I38" s="8">
        <f t="shared" si="4"/>
        <v>565977</v>
      </c>
      <c r="J38" s="1"/>
    </row>
    <row r="39" spans="1:10" ht="12.75">
      <c r="A39" s="1" t="s">
        <v>8</v>
      </c>
      <c r="B39" s="7">
        <v>0.12724791</v>
      </c>
      <c r="C39" s="9">
        <f>heater_data!F52/heater_data!B52</f>
        <v>0.29345501003832813</v>
      </c>
      <c r="D39" s="9">
        <f>heater_data!D52/heater_data!B52</f>
        <v>0.0390022510190424</v>
      </c>
      <c r="E39" s="9">
        <f>heater_data!C52/heater_data!B52</f>
        <v>0.5115507696051591</v>
      </c>
      <c r="F39" s="9">
        <f aca="true" t="shared" si="5" ref="F39:F57">SUM(C39:E39)</f>
        <v>0.8440080306625297</v>
      </c>
      <c r="G39" s="10">
        <f aca="true" t="shared" si="6" ref="G39:G57">B39*F39</f>
        <v>0.10739825792502282</v>
      </c>
      <c r="H39" s="11">
        <f aca="true" t="shared" si="7" ref="H39:H57">G39/G$59</f>
        <v>0.1501227306280116</v>
      </c>
      <c r="I39" s="8">
        <f>ROUND(H39*$C$63,0)-1</f>
        <v>14991941</v>
      </c>
      <c r="J39" s="1"/>
    </row>
    <row r="40" spans="1:10" ht="12.75">
      <c r="A40" s="1" t="s">
        <v>36</v>
      </c>
      <c r="B40" s="7">
        <v>0.0189638</v>
      </c>
      <c r="C40" s="9">
        <f>heater_data!F53/heater_data!B53</f>
        <v>0.16013043146776454</v>
      </c>
      <c r="D40" s="9">
        <f>heater_data!D53/heater_data!B53</f>
        <v>0.13517016497469372</v>
      </c>
      <c r="E40" s="9">
        <f>heater_data!C53/heater_data!B53</f>
        <v>0.18642199037012275</v>
      </c>
      <c r="F40" s="9">
        <f t="shared" si="5"/>
        <v>0.481722586812581</v>
      </c>
      <c r="G40" s="10">
        <f t="shared" si="6"/>
        <v>0.009135290791796424</v>
      </c>
      <c r="H40" s="11">
        <f t="shared" si="7"/>
        <v>0.012769432439982645</v>
      </c>
      <c r="I40" s="8">
        <f t="shared" si="4"/>
        <v>1275214</v>
      </c>
      <c r="J40" s="1"/>
    </row>
    <row r="41" spans="1:10" ht="12.75">
      <c r="A41" s="1" t="s">
        <v>37</v>
      </c>
      <c r="B41" s="7">
        <v>0.00799548</v>
      </c>
      <c r="C41" s="9">
        <f>heater_data!F54/heater_data!B54</f>
        <v>0.10338017470565894</v>
      </c>
      <c r="D41" s="9">
        <f>heater_data!D54/heater_data!B54</f>
        <v>0.16984428408659324</v>
      </c>
      <c r="E41" s="9">
        <f>heater_data!C54/heater_data!B54</f>
        <v>0.3407519939232814</v>
      </c>
      <c r="F41" s="9">
        <f t="shared" si="5"/>
        <v>0.6139764527155336</v>
      </c>
      <c r="G41" s="10">
        <f t="shared" si="6"/>
        <v>0.004909036448157994</v>
      </c>
      <c r="H41" s="11">
        <f t="shared" si="7"/>
        <v>0.006861917228344621</v>
      </c>
      <c r="I41" s="8">
        <f t="shared" si="4"/>
        <v>685262</v>
      </c>
      <c r="J41" s="1"/>
    </row>
    <row r="42" spans="1:10" ht="12.75">
      <c r="A42" s="1" t="s">
        <v>38</v>
      </c>
      <c r="B42" s="7">
        <v>0.0513862</v>
      </c>
      <c r="C42" s="9">
        <f>heater_data!F55/heater_data!B55</f>
        <v>0.04456429417203968</v>
      </c>
      <c r="D42" s="9">
        <f>heater_data!D55/heater_data!B55</f>
        <v>0.057827726011807384</v>
      </c>
      <c r="E42" s="9">
        <f>heater_data!C55/heater_data!B55</f>
        <v>0.6553725267046857</v>
      </c>
      <c r="F42" s="9">
        <f t="shared" si="5"/>
        <v>0.7577645468885328</v>
      </c>
      <c r="G42" s="10">
        <f t="shared" si="6"/>
        <v>0.03893864055932352</v>
      </c>
      <c r="H42" s="11">
        <f t="shared" si="7"/>
        <v>0.05442895593138226</v>
      </c>
      <c r="I42" s="8">
        <f t="shared" si="4"/>
        <v>5435524</v>
      </c>
      <c r="J42" s="1"/>
    </row>
    <row r="43" spans="1:10" ht="12.75">
      <c r="A43" s="1" t="s">
        <v>39</v>
      </c>
      <c r="B43" s="7">
        <v>0.00790558</v>
      </c>
      <c r="C43" s="9">
        <f>heater_data!F56/heater_data!B56</f>
        <v>0.001204004329004329</v>
      </c>
      <c r="D43" s="9">
        <f>heater_data!D56/heater_data!B56</f>
        <v>0.12842261904761904</v>
      </c>
      <c r="E43" s="9">
        <f>heater_data!C56/heater_data!B56</f>
        <v>0.5617018398268399</v>
      </c>
      <c r="F43" s="9">
        <f t="shared" si="5"/>
        <v>0.6913284632034632</v>
      </c>
      <c r="G43" s="10">
        <f t="shared" si="6"/>
        <v>0.005465352472132035</v>
      </c>
      <c r="H43" s="11">
        <f t="shared" si="7"/>
        <v>0.007639543255290101</v>
      </c>
      <c r="I43" s="8">
        <f t="shared" si="4"/>
        <v>762920</v>
      </c>
      <c r="J43" s="1"/>
    </row>
    <row r="44" spans="1:10" ht="12.75">
      <c r="A44" s="1" t="s">
        <v>40</v>
      </c>
      <c r="B44" s="7">
        <v>0.01246826</v>
      </c>
      <c r="C44" s="9">
        <f>heater_data!F57/heater_data!B57</f>
        <v>0.05474759872693279</v>
      </c>
      <c r="D44" s="9">
        <f>heater_data!D57/heater_data!B57</f>
        <v>0.022949462657170995</v>
      </c>
      <c r="E44" s="9">
        <f>heater_data!C57/heater_data!B57</f>
        <v>0.22388570939243865</v>
      </c>
      <c r="F44" s="9">
        <f t="shared" si="5"/>
        <v>0.30158277077654244</v>
      </c>
      <c r="G44" s="10">
        <f t="shared" si="6"/>
        <v>0.003760212397562333</v>
      </c>
      <c r="H44" s="11">
        <f t="shared" si="7"/>
        <v>0.005256075505968128</v>
      </c>
      <c r="I44" s="8">
        <f t="shared" si="4"/>
        <v>524896</v>
      </c>
      <c r="J44" s="1"/>
    </row>
    <row r="45" spans="1:10" ht="12.75">
      <c r="A45" s="1" t="s">
        <v>9</v>
      </c>
      <c r="B45" s="7">
        <v>0.0683509</v>
      </c>
      <c r="C45" s="9">
        <f>heater_data!F58/heater_data!B58</f>
        <v>0.23842536751197824</v>
      </c>
      <c r="D45" s="9">
        <f>heater_data!D58/heater_data!B58</f>
        <v>0.03130485772712259</v>
      </c>
      <c r="E45" s="9">
        <f>heater_data!C58/heater_data!B58</f>
        <v>0.5323570126963745</v>
      </c>
      <c r="F45" s="9">
        <f t="shared" si="5"/>
        <v>0.8020872379354753</v>
      </c>
      <c r="G45" s="10">
        <f t="shared" si="6"/>
        <v>0.05482338459140389</v>
      </c>
      <c r="H45" s="11">
        <f t="shared" si="7"/>
        <v>0.07663286496580721</v>
      </c>
      <c r="I45" s="8">
        <f t="shared" si="4"/>
        <v>7652908</v>
      </c>
      <c r="J45" s="1"/>
    </row>
    <row r="46" spans="1:10" ht="12.75">
      <c r="A46" s="1" t="s">
        <v>10</v>
      </c>
      <c r="B46" s="7">
        <v>0.00691008</v>
      </c>
      <c r="C46" s="9">
        <f>heater_data!F59/heater_data!B59</f>
        <v>0.32441780032280376</v>
      </c>
      <c r="D46" s="9">
        <f>heater_data!D59/heater_data!B59</f>
        <v>0.032472523249558065</v>
      </c>
      <c r="E46" s="9">
        <f>heater_data!C59/heater_data!B59</f>
        <v>0.518138498193836</v>
      </c>
      <c r="F46" s="9">
        <f t="shared" si="5"/>
        <v>0.8750288217661978</v>
      </c>
      <c r="G46" s="10">
        <f t="shared" si="6"/>
        <v>0.006046519160710168</v>
      </c>
      <c r="H46" s="11">
        <f t="shared" si="7"/>
        <v>0.00845190587573686</v>
      </c>
      <c r="I46" s="8">
        <f t="shared" si="4"/>
        <v>844046</v>
      </c>
      <c r="J46" s="1"/>
    </row>
    <row r="47" spans="1:10" ht="12.75">
      <c r="A47" s="1" t="s">
        <v>41</v>
      </c>
      <c r="B47" s="7">
        <v>0.00683051</v>
      </c>
      <c r="C47" s="9">
        <f>heater_data!F60/heater_data!B60</f>
        <v>0.08182326175461004</v>
      </c>
      <c r="D47" s="9">
        <f>heater_data!D60/heater_data!B60</f>
        <v>0.11198668019934085</v>
      </c>
      <c r="E47" s="9">
        <f>heater_data!C60/heater_data!B60</f>
        <v>0.23837653525527716</v>
      </c>
      <c r="F47" s="9">
        <f t="shared" si="5"/>
        <v>0.4321864772092281</v>
      </c>
      <c r="G47" s="10">
        <f t="shared" si="6"/>
        <v>0.0029520540544424045</v>
      </c>
      <c r="H47" s="11">
        <f t="shared" si="7"/>
        <v>0.004126420895241839</v>
      </c>
      <c r="I47" s="8">
        <f t="shared" si="4"/>
        <v>412083</v>
      </c>
      <c r="J47" s="1"/>
    </row>
    <row r="48" spans="1:10" ht="12.75">
      <c r="A48" s="1" t="s">
        <v>42</v>
      </c>
      <c r="B48" s="7">
        <v>0.00649373</v>
      </c>
      <c r="C48" s="9">
        <f>heater_data!F61/heater_data!B61</f>
        <v>0.0788496590832377</v>
      </c>
      <c r="D48" s="9">
        <f>heater_data!D61/heater_data!B61</f>
        <v>0.2594342806993857</v>
      </c>
      <c r="E48" s="9">
        <f>heater_data!C61/heater_data!B61</f>
        <v>0.3557685816512523</v>
      </c>
      <c r="F48" s="9">
        <f t="shared" si="5"/>
        <v>0.6940525214338757</v>
      </c>
      <c r="G48" s="10">
        <f t="shared" si="6"/>
        <v>0.0045069896800108014</v>
      </c>
      <c r="H48" s="11">
        <f t="shared" si="7"/>
        <v>0.006299930843830268</v>
      </c>
      <c r="I48" s="8">
        <f t="shared" si="4"/>
        <v>629140</v>
      </c>
      <c r="J48" s="1"/>
    </row>
    <row r="49" spans="1:10" ht="12.75">
      <c r="A49" s="1" t="s">
        <v>43</v>
      </c>
      <c r="B49" s="7">
        <v>0.01386403</v>
      </c>
      <c r="C49" s="9">
        <f>heater_data!F62/heater_data!B62</f>
        <v>0.03172651453255568</v>
      </c>
      <c r="D49" s="9">
        <f>heater_data!D62/heater_data!B62</f>
        <v>0.0769622792612786</v>
      </c>
      <c r="E49" s="9">
        <f>heater_data!C62/heater_data!B62</f>
        <v>0.2923903283475841</v>
      </c>
      <c r="F49" s="9">
        <f t="shared" si="5"/>
        <v>0.4010791221414184</v>
      </c>
      <c r="G49" s="10">
        <f t="shared" si="6"/>
        <v>0.005560572981742289</v>
      </c>
      <c r="H49" s="11">
        <f t="shared" si="7"/>
        <v>0.0077726437653976455</v>
      </c>
      <c r="I49" s="8">
        <f t="shared" si="4"/>
        <v>776212</v>
      </c>
      <c r="J49" s="1"/>
    </row>
    <row r="50" spans="1:10" ht="12.75">
      <c r="A50" s="1" t="s">
        <v>44</v>
      </c>
      <c r="B50" s="7">
        <v>0.02263997</v>
      </c>
      <c r="C50" s="9">
        <f>heater_data!F63/heater_data!B63</f>
        <v>0.0011018214091211651</v>
      </c>
      <c r="D50" s="9">
        <f>heater_data!D63/heater_data!B63</f>
        <v>0.0856672448917845</v>
      </c>
      <c r="E50" s="9">
        <f>heater_data!C63/heater_data!B63</f>
        <v>0.41446890695282085</v>
      </c>
      <c r="F50" s="9">
        <f t="shared" si="5"/>
        <v>0.5012379732537265</v>
      </c>
      <c r="G50" s="10">
        <f t="shared" si="6"/>
        <v>0.011348012677325171</v>
      </c>
      <c r="H50" s="11">
        <f t="shared" si="7"/>
        <v>0.01586240487728084</v>
      </c>
      <c r="I50" s="8">
        <f t="shared" si="4"/>
        <v>1584092</v>
      </c>
      <c r="J50" s="1"/>
    </row>
    <row r="51" spans="1:10" ht="12.75">
      <c r="A51" s="1" t="s">
        <v>45</v>
      </c>
      <c r="B51" s="7">
        <v>0.00747576</v>
      </c>
      <c r="C51" s="9">
        <f>heater_data!F64/heater_data!B64</f>
        <v>0.008703451483240874</v>
      </c>
      <c r="D51" s="9">
        <f>heater_data!D64/heater_data!B64</f>
        <v>0.043118626050559744</v>
      </c>
      <c r="E51" s="9">
        <f>heater_data!C64/heater_data!B64</f>
        <v>0.7634455037703883</v>
      </c>
      <c r="F51" s="9">
        <f t="shared" si="5"/>
        <v>0.815267581304189</v>
      </c>
      <c r="G51" s="10">
        <f t="shared" si="6"/>
        <v>0.0060947447736106036</v>
      </c>
      <c r="H51" s="11">
        <f t="shared" si="7"/>
        <v>0.008519316286619663</v>
      </c>
      <c r="I51" s="8">
        <f t="shared" si="4"/>
        <v>850778</v>
      </c>
      <c r="J51" s="1"/>
    </row>
    <row r="52" spans="1:10" ht="12.75">
      <c r="A52" s="1" t="s">
        <v>11</v>
      </c>
      <c r="B52" s="7">
        <v>0.00595572</v>
      </c>
      <c r="C52" s="9">
        <f>heater_data!F65/heater_data!B65</f>
        <v>0.5705290773939659</v>
      </c>
      <c r="D52" s="9">
        <f>heater_data!D65/heater_data!B65</f>
        <v>0.1410581547879318</v>
      </c>
      <c r="E52" s="9">
        <f>heater_data!C65/heater_data!B65</f>
        <v>0.10660253607345868</v>
      </c>
      <c r="F52" s="9">
        <f t="shared" si="5"/>
        <v>0.8181897682553564</v>
      </c>
      <c r="G52" s="10">
        <f t="shared" si="6"/>
        <v>0.004872909166593792</v>
      </c>
      <c r="H52" s="11">
        <f t="shared" si="7"/>
        <v>0.00681141802786065</v>
      </c>
      <c r="I52" s="8">
        <f t="shared" si="4"/>
        <v>680219</v>
      </c>
      <c r="J52" s="1"/>
    </row>
    <row r="53" spans="1:10" ht="12.75">
      <c r="A53" s="1" t="s">
        <v>46</v>
      </c>
      <c r="B53" s="7">
        <v>0.01957379</v>
      </c>
      <c r="C53" s="9">
        <f>heater_data!F66/heater_data!B66</f>
        <v>0.18085511484798636</v>
      </c>
      <c r="D53" s="9">
        <f>heater_data!D66/heater_data!B66</f>
        <v>0.05692895875220862</v>
      </c>
      <c r="E53" s="9">
        <f>heater_data!C66/heater_data!B66</f>
        <v>0.25492749649667945</v>
      </c>
      <c r="F53" s="9">
        <f t="shared" si="5"/>
        <v>0.49271157009687444</v>
      </c>
      <c r="G53" s="10">
        <f t="shared" si="6"/>
        <v>0.009644232803646501</v>
      </c>
      <c r="H53" s="11">
        <f t="shared" si="7"/>
        <v>0.013480838435074171</v>
      </c>
      <c r="I53" s="8">
        <f t="shared" si="4"/>
        <v>1346258</v>
      </c>
      <c r="J53" s="1"/>
    </row>
    <row r="54" spans="1:10" ht="12.75">
      <c r="A54" s="1" t="s">
        <v>47</v>
      </c>
      <c r="B54" s="7">
        <v>0.02050857</v>
      </c>
      <c r="C54" s="9">
        <f>heater_data!F67/heater_data!B67</f>
        <v>0.04531683689204143</v>
      </c>
      <c r="D54" s="9">
        <f>heater_data!D67/heater_data!B67</f>
        <v>0.026313879868657367</v>
      </c>
      <c r="E54" s="9">
        <f>heater_data!C67/heater_data!B67</f>
        <v>0.19961721967236906</v>
      </c>
      <c r="F54" s="9">
        <f t="shared" si="5"/>
        <v>0.2712479364330679</v>
      </c>
      <c r="G54" s="10">
        <f t="shared" si="6"/>
        <v>0.005562907291693123</v>
      </c>
      <c r="H54" s="11">
        <f t="shared" si="7"/>
        <v>0.0077759066952693395</v>
      </c>
      <c r="I54" s="8">
        <f t="shared" si="4"/>
        <v>776538</v>
      </c>
      <c r="J54" s="1"/>
    </row>
    <row r="55" spans="1:10" ht="12.75">
      <c r="A55" s="1" t="s">
        <v>48</v>
      </c>
      <c r="B55" s="7">
        <v>0.00905733</v>
      </c>
      <c r="C55" s="9">
        <f>heater_data!F68/heater_data!B68</f>
        <v>0.0754883211208286</v>
      </c>
      <c r="D55" s="9">
        <f>heater_data!D68/heater_data!B68</f>
        <v>0.05960848357221136</v>
      </c>
      <c r="E55" s="9">
        <f>heater_data!C68/heater_data!B68</f>
        <v>0.4383608741431549</v>
      </c>
      <c r="F55" s="9">
        <f t="shared" si="5"/>
        <v>0.5734576788361948</v>
      </c>
      <c r="G55" s="10">
        <f t="shared" si="6"/>
        <v>0.0051939954382534325</v>
      </c>
      <c r="H55" s="11">
        <f t="shared" si="7"/>
        <v>0.007260236740566064</v>
      </c>
      <c r="I55" s="8">
        <f t="shared" si="4"/>
        <v>725040</v>
      </c>
      <c r="J55" s="1"/>
    </row>
    <row r="56" spans="1:10" ht="12.75">
      <c r="A56" s="1" t="s">
        <v>49</v>
      </c>
      <c r="B56" s="7">
        <v>0.03576365</v>
      </c>
      <c r="C56" s="9">
        <f>heater_data!F69/heater_data!B69</f>
        <v>0.07920197704783535</v>
      </c>
      <c r="D56" s="9">
        <f>heater_data!D69/heater_data!B69</f>
        <v>0.1074369415790369</v>
      </c>
      <c r="E56" s="9">
        <f>heater_data!C69/heater_data!B69</f>
        <v>0.5895124415940448</v>
      </c>
      <c r="F56" s="9">
        <f t="shared" si="5"/>
        <v>0.7761513602209171</v>
      </c>
      <c r="G56" s="10">
        <f t="shared" si="6"/>
        <v>0.027758005593964803</v>
      </c>
      <c r="H56" s="11">
        <f t="shared" si="7"/>
        <v>0.038800513872978934</v>
      </c>
      <c r="I56" s="8">
        <f t="shared" si="4"/>
        <v>3874797</v>
      </c>
      <c r="J56" s="1"/>
    </row>
    <row r="57" spans="1:10" ht="12.75">
      <c r="A57" s="1" t="s">
        <v>50</v>
      </c>
      <c r="B57" s="7">
        <v>0.00299313</v>
      </c>
      <c r="C57" s="9">
        <f>heater_data!F70/heater_data!B70</f>
        <v>0.0026890061019753855</v>
      </c>
      <c r="D57" s="9">
        <f>heater_data!D70/heater_data!B70</f>
        <v>0.11055952011583411</v>
      </c>
      <c r="E57" s="9">
        <f>heater_data!C70/heater_data!B70</f>
        <v>0.6087496121625815</v>
      </c>
      <c r="F57" s="9">
        <f t="shared" si="5"/>
        <v>0.721998138380391</v>
      </c>
      <c r="G57" s="10">
        <f t="shared" si="6"/>
        <v>0.0021610342879305</v>
      </c>
      <c r="H57" s="11">
        <f t="shared" si="7"/>
        <v>0.003020722817602615</v>
      </c>
      <c r="I57" s="8">
        <f t="shared" si="4"/>
        <v>301663</v>
      </c>
      <c r="J57" s="1"/>
    </row>
    <row r="58" spans="2:10" ht="12.75">
      <c r="B58" s="12" t="s">
        <v>52</v>
      </c>
      <c r="C58" s="1"/>
      <c r="I58" s="2"/>
      <c r="J58" s="1"/>
    </row>
    <row r="59" spans="1:10" ht="12.75">
      <c r="A59" s="1" t="s">
        <v>54</v>
      </c>
      <c r="B59" s="13">
        <f>SUM(B7:B57)</f>
        <v>1</v>
      </c>
      <c r="C59" s="1"/>
      <c r="F59" s="14">
        <f>SUM(F7:F57)</f>
        <v>32.809433024165216</v>
      </c>
      <c r="G59" s="14">
        <f>SUM(G7:G57)</f>
        <v>0.7154030404039509</v>
      </c>
      <c r="H59" s="14">
        <f>SUM(H7:H57)</f>
        <v>1.0000000000000002</v>
      </c>
      <c r="I59" s="8">
        <f>SUM(I7:I57)</f>
        <v>99864572</v>
      </c>
      <c r="J59" s="1"/>
    </row>
    <row r="60" spans="2:10" ht="12.75">
      <c r="B60" s="13"/>
      <c r="C60" s="8"/>
      <c r="H60" s="14"/>
      <c r="J60" s="8"/>
    </row>
    <row r="61" spans="1:10" ht="12.75">
      <c r="A61" s="1" t="s">
        <v>0</v>
      </c>
      <c r="B61" s="11"/>
      <c r="C61" s="16">
        <f>E2</f>
        <v>100000000</v>
      </c>
      <c r="D61" s="15"/>
      <c r="E61" s="15"/>
      <c r="F61" s="15"/>
      <c r="G61" s="15"/>
      <c r="H61" s="15"/>
      <c r="I61" s="16"/>
      <c r="J61" s="8" t="e">
        <f>C61+#REF!</f>
        <v>#REF!</v>
      </c>
    </row>
    <row r="62" spans="1:10" ht="13.5" thickBot="1">
      <c r="A62" s="1" t="s">
        <v>53</v>
      </c>
      <c r="B62" s="11">
        <v>0.00135428</v>
      </c>
      <c r="C62" s="15">
        <f>$B$62*C61</f>
        <v>135428</v>
      </c>
      <c r="D62" s="15"/>
      <c r="E62" s="15"/>
      <c r="F62" s="15"/>
      <c r="G62" s="15"/>
      <c r="H62" s="15"/>
      <c r="I62" s="15"/>
      <c r="J62" s="8" t="e">
        <f>C62+#REF!</f>
        <v>#REF!</v>
      </c>
    </row>
    <row r="63" spans="1:10" ht="13.5" thickTop="1">
      <c r="A63" s="40" t="s">
        <v>55</v>
      </c>
      <c r="B63" s="40"/>
      <c r="C63" s="41">
        <f>(C61-C62)</f>
        <v>99864572</v>
      </c>
      <c r="D63" s="15"/>
      <c r="E63" s="15"/>
      <c r="F63" s="15"/>
      <c r="G63" s="15"/>
      <c r="H63" s="15"/>
      <c r="I63" s="15"/>
      <c r="J63" s="15" t="e">
        <f>(J61-J62)</f>
        <v>#REF!</v>
      </c>
    </row>
    <row r="64" spans="2:10" ht="12.75">
      <c r="B64" s="11"/>
      <c r="C64" s="8"/>
      <c r="D64" s="15"/>
      <c r="E64" s="15"/>
      <c r="F64" s="15"/>
      <c r="G64" s="15"/>
      <c r="H64" s="15"/>
      <c r="I64" s="15"/>
      <c r="J64" s="8"/>
    </row>
    <row r="65" spans="2:4" ht="12.75">
      <c r="B65" s="34" t="s">
        <v>53</v>
      </c>
      <c r="C65" s="34" t="s">
        <v>99</v>
      </c>
      <c r="D65" s="35" t="s">
        <v>100</v>
      </c>
    </row>
    <row r="66" spans="2:4" ht="12.75">
      <c r="B66" s="36" t="s">
        <v>101</v>
      </c>
      <c r="C66" s="37">
        <v>0.01654258</v>
      </c>
      <c r="D66" s="35">
        <f>ROUND(C66*$C$62,0)</f>
        <v>2240</v>
      </c>
    </row>
    <row r="67" spans="2:4" ht="12.75">
      <c r="B67" s="36" t="s">
        <v>102</v>
      </c>
      <c r="C67" s="37">
        <v>0.03626904</v>
      </c>
      <c r="D67" s="35">
        <f>ROUND(C67*$C$62,0)</f>
        <v>4912</v>
      </c>
    </row>
    <row r="68" spans="2:4" ht="12.75">
      <c r="B68" s="36" t="s">
        <v>103</v>
      </c>
      <c r="C68" s="37">
        <v>0.01259719</v>
      </c>
      <c r="D68" s="35">
        <f>ROUND(C68*$C$62,0)</f>
        <v>1706</v>
      </c>
    </row>
    <row r="69" spans="2:4" ht="12.75">
      <c r="B69" s="36" t="s">
        <v>104</v>
      </c>
      <c r="C69" s="37">
        <v>0.90029483</v>
      </c>
      <c r="D69" s="35">
        <f>ROUND(C69*$C$62,0)</f>
        <v>121925</v>
      </c>
    </row>
    <row r="70" spans="2:4" ht="12.75">
      <c r="B70" s="36" t="s">
        <v>105</v>
      </c>
      <c r="C70" s="37">
        <v>0.03429636</v>
      </c>
      <c r="D70" s="35">
        <f>ROUND(C70*$C$62,0)</f>
        <v>4645</v>
      </c>
    </row>
    <row r="71" spans="2:4" ht="12.75">
      <c r="B71" s="34" t="s">
        <v>0</v>
      </c>
      <c r="C71" s="36"/>
      <c r="D71" s="35">
        <f>SUM(D66:D70)</f>
        <v>135428</v>
      </c>
    </row>
  </sheetData>
  <mergeCells count="2">
    <mergeCell ref="A1:J1"/>
    <mergeCell ref="A3:J3"/>
  </mergeCells>
  <printOptions gridLines="1" horizontalCentered="1"/>
  <pageMargins left="0.25" right="0.25" top="0.25" bottom="0.25" header="0" footer="0"/>
  <pageSetup fitToHeight="0" fitToWidth="1"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workbookViewId="0" topLeftCell="A1">
      <selection activeCell="A1" sqref="A1:D1"/>
    </sheetView>
  </sheetViews>
  <sheetFormatPr defaultColWidth="9.33203125" defaultRowHeight="12.75"/>
  <cols>
    <col min="1" max="2" width="24.33203125" style="53" customWidth="1"/>
    <col min="3" max="3" width="20.5" style="53" customWidth="1"/>
    <col min="4" max="4" width="27.16015625" style="53" customWidth="1"/>
    <col min="5" max="7" width="30.5" style="53" hidden="1" customWidth="1"/>
    <col min="8" max="8" width="15.66015625" style="53" hidden="1" customWidth="1"/>
    <col min="9" max="9" width="16.66015625" style="53" hidden="1" customWidth="1"/>
    <col min="10" max="10" width="14" style="53" customWidth="1"/>
    <col min="11" max="16384" width="11.83203125" style="53" customWidth="1"/>
  </cols>
  <sheetData>
    <row r="1" spans="1:10" s="52" customFormat="1" ht="52.5" customHeight="1">
      <c r="A1" s="109" t="str">
        <f>"Allocation of "&amp;TEXT(Formula!E2/1000000,"$0.00")&amp;" Million in FY 2006 LIHEAP Emergency Funds to Reflect Low Income Household Usage of FO, LPG &amp; NG Weighted by FY06 Block Grant Percents"</f>
        <v>Allocation of $100.00 Million in FY 2006 LIHEAP Emergency Funds to Reflect Low Income Household Usage of FO, LPG &amp; NG Weighted by FY06 Block Grant Percents</v>
      </c>
      <c r="B1" s="109"/>
      <c r="C1" s="109"/>
      <c r="D1" s="109"/>
      <c r="E1" s="93"/>
      <c r="F1" s="93"/>
      <c r="G1" s="93"/>
      <c r="H1" s="93"/>
      <c r="I1" s="93"/>
      <c r="J1" s="93"/>
    </row>
    <row r="2" spans="1:7" ht="30" customHeight="1">
      <c r="A2" s="110" t="s">
        <v>320</v>
      </c>
      <c r="B2" s="110"/>
      <c r="C2" s="110"/>
      <c r="D2" s="110"/>
      <c r="E2" s="55"/>
      <c r="F2" s="55"/>
      <c r="G2" s="55"/>
    </row>
    <row r="3" spans="1:7" ht="25.5">
      <c r="A3" s="3" t="s">
        <v>88</v>
      </c>
      <c r="B3" s="94">
        <v>100000000</v>
      </c>
      <c r="C3" s="95" t="s">
        <v>319</v>
      </c>
      <c r="D3" s="94">
        <f>Formula!C63</f>
        <v>99864572</v>
      </c>
      <c r="E3" s="55"/>
      <c r="F3" s="55"/>
      <c r="G3" s="55"/>
    </row>
    <row r="4" spans="5:7" ht="12.75">
      <c r="E4" s="55"/>
      <c r="F4" s="55"/>
      <c r="G4" s="55"/>
    </row>
    <row r="5" spans="1:9" ht="12.75">
      <c r="A5" s="3" t="str">
        <f aca="true" t="shared" si="0" ref="A5:I5">IF(COLUMN()&lt;=26,CHAR(64+COLUMN()),CHAR(64+ROUNDDOWN((COLUMN()-1)/26,0))&amp;CHAR(65+MOD((COLUMN()-1),26)))</f>
        <v>A</v>
      </c>
      <c r="B5" s="3" t="str">
        <f t="shared" si="0"/>
        <v>B</v>
      </c>
      <c r="C5" s="3" t="str">
        <f t="shared" si="0"/>
        <v>C</v>
      </c>
      <c r="D5" s="3" t="str">
        <f t="shared" si="0"/>
        <v>D</v>
      </c>
      <c r="E5" s="3" t="str">
        <f t="shared" si="0"/>
        <v>E</v>
      </c>
      <c r="F5" s="3" t="str">
        <f t="shared" si="0"/>
        <v>F</v>
      </c>
      <c r="G5" s="3" t="str">
        <f t="shared" si="0"/>
        <v>G</v>
      </c>
      <c r="H5" s="3" t="str">
        <f t="shared" si="0"/>
        <v>H</v>
      </c>
      <c r="I5" s="3" t="str">
        <f t="shared" si="0"/>
        <v>I</v>
      </c>
    </row>
    <row r="6" spans="1:10" ht="25.5">
      <c r="A6" s="56" t="s">
        <v>122</v>
      </c>
      <c r="B6" s="56" t="s">
        <v>123</v>
      </c>
      <c r="C6" s="56" t="s">
        <v>124</v>
      </c>
      <c r="D6" s="96" t="str">
        <f>"Net Allotments (Col "&amp;B5&amp;" Minus Col "&amp;C5&amp;")"</f>
        <v>Net Allotments (Col B Minus Col C)</v>
      </c>
      <c r="E6" s="34"/>
      <c r="F6" s="57" t="s">
        <v>125</v>
      </c>
      <c r="G6" s="57" t="s">
        <v>126</v>
      </c>
      <c r="H6" s="57" t="s">
        <v>125</v>
      </c>
      <c r="I6" s="58" t="s">
        <v>126</v>
      </c>
      <c r="J6" s="58"/>
    </row>
    <row r="7" ht="12.75">
      <c r="B7" s="54"/>
    </row>
    <row r="8" spans="1:10" ht="12.75">
      <c r="A8" s="54" t="s">
        <v>12</v>
      </c>
      <c r="B8" s="59">
        <f>Formula!I7</f>
        <v>661706</v>
      </c>
      <c r="C8" s="59">
        <f>Tribes!H12</f>
        <v>4165</v>
      </c>
      <c r="D8" s="59">
        <f aca="true" t="shared" si="1" ref="D8:D39">B8-C8</f>
        <v>657541</v>
      </c>
      <c r="E8" s="59"/>
      <c r="F8" s="60">
        <v>0.45</v>
      </c>
      <c r="G8" s="61">
        <f aca="true" t="shared" si="2" ref="G8:G39">D8*F8</f>
        <v>295893.45</v>
      </c>
      <c r="H8" s="60">
        <v>0.45</v>
      </c>
      <c r="I8" s="61">
        <f aca="true" t="shared" si="3" ref="I8:I39">D8*H8</f>
        <v>295893.45</v>
      </c>
      <c r="J8" s="61"/>
    </row>
    <row r="9" spans="1:10" ht="12.75">
      <c r="A9" s="54" t="s">
        <v>1</v>
      </c>
      <c r="B9" s="59">
        <f>Formula!I8</f>
        <v>566940</v>
      </c>
      <c r="C9" s="59">
        <f>Tribes!H18</f>
        <v>172917</v>
      </c>
      <c r="D9" s="59">
        <f t="shared" si="1"/>
        <v>394023</v>
      </c>
      <c r="E9" s="59"/>
      <c r="F9" s="60">
        <v>0.4</v>
      </c>
      <c r="G9" s="61">
        <f t="shared" si="2"/>
        <v>157609.2</v>
      </c>
      <c r="H9" s="60">
        <v>0.3</v>
      </c>
      <c r="I9" s="61">
        <f t="shared" si="3"/>
        <v>118206.9</v>
      </c>
      <c r="J9" s="61"/>
    </row>
    <row r="10" spans="1:10" ht="12.75">
      <c r="A10" s="54" t="s">
        <v>13</v>
      </c>
      <c r="B10" s="59">
        <f>Formula!I9</f>
        <v>257300</v>
      </c>
      <c r="C10" s="59">
        <f>Tribes!H28</f>
        <v>21011</v>
      </c>
      <c r="D10" s="59">
        <f t="shared" si="1"/>
        <v>236289</v>
      </c>
      <c r="E10" s="59"/>
      <c r="F10" s="60">
        <v>0.25</v>
      </c>
      <c r="G10" s="61">
        <f t="shared" si="2"/>
        <v>59072.25</v>
      </c>
      <c r="H10" s="60">
        <v>0.25</v>
      </c>
      <c r="I10" s="61">
        <f t="shared" si="3"/>
        <v>59072.25</v>
      </c>
      <c r="J10" s="61"/>
    </row>
    <row r="11" spans="1:10" ht="12.75">
      <c r="A11" s="54" t="s">
        <v>14</v>
      </c>
      <c r="B11" s="59">
        <f>Formula!I10</f>
        <v>571429</v>
      </c>
      <c r="C11" s="59"/>
      <c r="D11" s="59">
        <f t="shared" si="1"/>
        <v>571429</v>
      </c>
      <c r="E11" s="59"/>
      <c r="F11" s="60">
        <v>0.6</v>
      </c>
      <c r="G11" s="61">
        <f t="shared" si="2"/>
        <v>342857.39999999997</v>
      </c>
      <c r="H11" s="60">
        <v>0.4</v>
      </c>
      <c r="I11" s="61">
        <f t="shared" si="3"/>
        <v>228571.6</v>
      </c>
      <c r="J11" s="61"/>
    </row>
    <row r="12" spans="1:10" ht="12.75">
      <c r="A12" s="54" t="s">
        <v>15</v>
      </c>
      <c r="B12" s="59">
        <f>Formula!I11</f>
        <v>4442331</v>
      </c>
      <c r="C12" s="59">
        <f>Tribes!H45</f>
        <v>33396</v>
      </c>
      <c r="D12" s="59">
        <f t="shared" si="1"/>
        <v>4408935</v>
      </c>
      <c r="E12" s="59"/>
      <c r="F12" s="60">
        <v>0.25</v>
      </c>
      <c r="G12" s="61">
        <f t="shared" si="2"/>
        <v>1102233.75</v>
      </c>
      <c r="H12" s="60">
        <v>0.25</v>
      </c>
      <c r="I12" s="61">
        <f t="shared" si="3"/>
        <v>1102233.75</v>
      </c>
      <c r="J12" s="61"/>
    </row>
    <row r="13" spans="1:10" ht="12.75">
      <c r="A13" s="54" t="s">
        <v>16</v>
      </c>
      <c r="B13" s="59">
        <f>Formula!I12</f>
        <v>1675737</v>
      </c>
      <c r="C13" s="59">
        <f>Tribes!H71</f>
        <v>1336</v>
      </c>
      <c r="D13" s="59">
        <f t="shared" si="1"/>
        <v>1674401</v>
      </c>
      <c r="E13" s="59"/>
      <c r="F13" s="60">
        <v>0.5</v>
      </c>
      <c r="G13" s="61">
        <f t="shared" si="2"/>
        <v>837200.5</v>
      </c>
      <c r="H13" s="60">
        <v>0.3</v>
      </c>
      <c r="I13" s="61">
        <f t="shared" si="3"/>
        <v>502320.3</v>
      </c>
      <c r="J13" s="61"/>
    </row>
    <row r="14" spans="1:10" ht="12.75">
      <c r="A14" s="54" t="s">
        <v>2</v>
      </c>
      <c r="B14" s="59">
        <f>Formula!I13</f>
        <v>2304322</v>
      </c>
      <c r="C14" s="59"/>
      <c r="D14" s="59">
        <f t="shared" si="1"/>
        <v>2304322</v>
      </c>
      <c r="E14" s="59"/>
      <c r="F14" s="60">
        <v>0.3</v>
      </c>
      <c r="G14" s="61">
        <f t="shared" si="2"/>
        <v>691296.6</v>
      </c>
      <c r="H14" s="60">
        <v>0.45</v>
      </c>
      <c r="I14" s="61">
        <f t="shared" si="3"/>
        <v>1036944.9</v>
      </c>
      <c r="J14" s="61"/>
    </row>
    <row r="15" spans="1:10" ht="12.75">
      <c r="A15" s="54" t="s">
        <v>3</v>
      </c>
      <c r="B15" s="59">
        <f>Formula!I14</f>
        <v>271819</v>
      </c>
      <c r="C15" s="59"/>
      <c r="D15" s="59">
        <f t="shared" si="1"/>
        <v>271819</v>
      </c>
      <c r="E15" s="59"/>
      <c r="F15" s="60">
        <v>0.7</v>
      </c>
      <c r="G15" s="61">
        <f t="shared" si="2"/>
        <v>190273.3</v>
      </c>
      <c r="H15" s="60">
        <v>0.2</v>
      </c>
      <c r="I15" s="61">
        <f t="shared" si="3"/>
        <v>54363.8</v>
      </c>
      <c r="J15" s="61"/>
    </row>
    <row r="16" spans="1:10" ht="12.75">
      <c r="A16" s="54" t="s">
        <v>82</v>
      </c>
      <c r="B16" s="59">
        <f>Formula!I15</f>
        <v>313533</v>
      </c>
      <c r="C16" s="59"/>
      <c r="D16" s="59">
        <f t="shared" si="1"/>
        <v>313533</v>
      </c>
      <c r="E16" s="59"/>
      <c r="F16" s="60">
        <v>1</v>
      </c>
      <c r="G16" s="61">
        <f t="shared" si="2"/>
        <v>313533</v>
      </c>
      <c r="H16" s="60">
        <v>0</v>
      </c>
      <c r="I16" s="61">
        <f t="shared" si="3"/>
        <v>0</v>
      </c>
      <c r="J16" s="61"/>
    </row>
    <row r="17" spans="1:10" ht="12.75">
      <c r="A17" s="54" t="s">
        <v>17</v>
      </c>
      <c r="B17" s="59">
        <f>Formula!I16</f>
        <v>255871</v>
      </c>
      <c r="C17" s="59">
        <f>Tribes!H74</f>
        <v>66</v>
      </c>
      <c r="D17" s="59">
        <f t="shared" si="1"/>
        <v>255805</v>
      </c>
      <c r="E17" s="59"/>
      <c r="F17" s="60">
        <v>0.9</v>
      </c>
      <c r="G17" s="61">
        <f t="shared" si="2"/>
        <v>230224.5</v>
      </c>
      <c r="H17" s="60">
        <v>0</v>
      </c>
      <c r="I17" s="61">
        <f t="shared" si="3"/>
        <v>0</v>
      </c>
      <c r="J17" s="61"/>
    </row>
    <row r="18" spans="1:10" ht="12.75">
      <c r="A18" s="54" t="s">
        <v>18</v>
      </c>
      <c r="B18" s="59">
        <f>Formula!I17</f>
        <v>855734</v>
      </c>
      <c r="C18" s="59"/>
      <c r="D18" s="59">
        <f t="shared" si="1"/>
        <v>855734</v>
      </c>
      <c r="E18" s="59"/>
      <c r="F18" s="60">
        <v>0.9</v>
      </c>
      <c r="G18" s="61">
        <f t="shared" si="2"/>
        <v>770160.6</v>
      </c>
      <c r="H18" s="60">
        <v>0.1</v>
      </c>
      <c r="I18" s="61">
        <f t="shared" si="3"/>
        <v>85573.40000000001</v>
      </c>
      <c r="J18" s="61"/>
    </row>
    <row r="19" spans="1:10" ht="12.75">
      <c r="A19" s="54" t="s">
        <v>19</v>
      </c>
      <c r="B19" s="59">
        <f>Formula!I18</f>
        <v>11810</v>
      </c>
      <c r="C19" s="59"/>
      <c r="D19" s="59">
        <f t="shared" si="1"/>
        <v>11810</v>
      </c>
      <c r="E19" s="59"/>
      <c r="F19" s="60">
        <v>0.25</v>
      </c>
      <c r="G19" s="61">
        <f t="shared" si="2"/>
        <v>2952.5</v>
      </c>
      <c r="H19" s="60">
        <v>0.25</v>
      </c>
      <c r="I19" s="61">
        <f t="shared" si="3"/>
        <v>2952.5</v>
      </c>
      <c r="J19" s="61"/>
    </row>
    <row r="20" spans="1:10" ht="12.75">
      <c r="A20" s="54" t="s">
        <v>20</v>
      </c>
      <c r="B20" s="59">
        <f>Formula!I19</f>
        <v>401437</v>
      </c>
      <c r="C20" s="59">
        <f>Tribes!H77</f>
        <v>19479</v>
      </c>
      <c r="D20" s="59">
        <f t="shared" si="1"/>
        <v>381958</v>
      </c>
      <c r="E20" s="59"/>
      <c r="F20" s="60">
        <v>0.4</v>
      </c>
      <c r="G20" s="61">
        <f t="shared" si="2"/>
        <v>152783.2</v>
      </c>
      <c r="H20" s="60">
        <v>0.4</v>
      </c>
      <c r="I20" s="61">
        <f t="shared" si="3"/>
        <v>152783.2</v>
      </c>
      <c r="J20" s="61"/>
    </row>
    <row r="21" spans="1:10" ht="12.75">
      <c r="A21" s="54" t="s">
        <v>21</v>
      </c>
      <c r="B21" s="59">
        <f>Formula!I20</f>
        <v>6560144</v>
      </c>
      <c r="C21" s="59"/>
      <c r="D21" s="59">
        <f t="shared" si="1"/>
        <v>6560144</v>
      </c>
      <c r="E21" s="59"/>
      <c r="F21" s="60">
        <v>1</v>
      </c>
      <c r="G21" s="61">
        <f t="shared" si="2"/>
        <v>6560144</v>
      </c>
      <c r="H21" s="60">
        <v>0</v>
      </c>
      <c r="I21" s="61">
        <f t="shared" si="3"/>
        <v>0</v>
      </c>
      <c r="J21" s="61"/>
    </row>
    <row r="22" spans="1:10" ht="12.75">
      <c r="A22" s="54" t="s">
        <v>22</v>
      </c>
      <c r="B22" s="59">
        <f>Formula!I21</f>
        <v>2652651</v>
      </c>
      <c r="C22" s="59">
        <f>Tribes!H82</f>
        <v>345</v>
      </c>
      <c r="D22" s="59">
        <f t="shared" si="1"/>
        <v>2652306</v>
      </c>
      <c r="E22" s="59"/>
      <c r="F22" s="60">
        <v>0.7</v>
      </c>
      <c r="G22" s="61">
        <f t="shared" si="2"/>
        <v>1856614.2</v>
      </c>
      <c r="H22" s="60">
        <v>0.1</v>
      </c>
      <c r="I22" s="61">
        <f t="shared" si="3"/>
        <v>265230.60000000003</v>
      </c>
      <c r="J22" s="61"/>
    </row>
    <row r="23" spans="1:10" ht="12.75">
      <c r="A23" s="54" t="s">
        <v>23</v>
      </c>
      <c r="B23" s="59">
        <f>Formula!I22</f>
        <v>2040338</v>
      </c>
      <c r="C23" s="59"/>
      <c r="D23" s="59">
        <f t="shared" si="1"/>
        <v>2040338</v>
      </c>
      <c r="E23" s="59"/>
      <c r="F23" s="60">
        <v>0.8</v>
      </c>
      <c r="G23" s="61">
        <f t="shared" si="2"/>
        <v>1632270.4000000001</v>
      </c>
      <c r="H23" s="60">
        <v>0.1</v>
      </c>
      <c r="I23" s="61">
        <f t="shared" si="3"/>
        <v>204033.80000000002</v>
      </c>
      <c r="J23" s="61"/>
    </row>
    <row r="24" spans="1:10" ht="12.75">
      <c r="A24" s="54" t="s">
        <v>24</v>
      </c>
      <c r="B24" s="59">
        <f>Formula!I23</f>
        <v>923223</v>
      </c>
      <c r="C24" s="59">
        <f>Tribes!H85</f>
        <v>687</v>
      </c>
      <c r="D24" s="59">
        <f t="shared" si="1"/>
        <v>922536</v>
      </c>
      <c r="E24" s="59"/>
      <c r="F24" s="60">
        <v>1</v>
      </c>
      <c r="G24" s="61">
        <f t="shared" si="2"/>
        <v>922536</v>
      </c>
      <c r="H24" s="60">
        <v>0</v>
      </c>
      <c r="I24" s="61">
        <f t="shared" si="3"/>
        <v>0</v>
      </c>
      <c r="J24" s="61"/>
    </row>
    <row r="25" spans="1:10" ht="12.75">
      <c r="A25" s="54" t="s">
        <v>25</v>
      </c>
      <c r="B25" s="59">
        <f>Formula!I24</f>
        <v>972439</v>
      </c>
      <c r="C25" s="59"/>
      <c r="D25" s="59">
        <f t="shared" si="1"/>
        <v>972439</v>
      </c>
      <c r="E25" s="59"/>
      <c r="F25" s="60">
        <v>0.9</v>
      </c>
      <c r="G25" s="61">
        <f t="shared" si="2"/>
        <v>875195.1</v>
      </c>
      <c r="H25" s="60">
        <v>0.1</v>
      </c>
      <c r="I25" s="61">
        <f t="shared" si="3"/>
        <v>97243.90000000001</v>
      </c>
      <c r="J25" s="61"/>
    </row>
    <row r="26" spans="1:10" ht="12.75">
      <c r="A26" s="54" t="s">
        <v>26</v>
      </c>
      <c r="B26" s="59">
        <f>Formula!I25</f>
        <v>661252</v>
      </c>
      <c r="C26" s="59"/>
      <c r="D26" s="59">
        <f t="shared" si="1"/>
        <v>661252</v>
      </c>
      <c r="E26" s="59"/>
      <c r="F26" s="60">
        <v>0.9</v>
      </c>
      <c r="G26" s="61">
        <f t="shared" si="2"/>
        <v>595126.8</v>
      </c>
      <c r="H26" s="60">
        <v>0</v>
      </c>
      <c r="I26" s="61">
        <f t="shared" si="3"/>
        <v>0</v>
      </c>
      <c r="J26" s="61"/>
    </row>
    <row r="27" spans="1:10" ht="12.75">
      <c r="A27" s="54" t="s">
        <v>4</v>
      </c>
      <c r="B27" s="59">
        <f>Formula!I26</f>
        <v>1598170</v>
      </c>
      <c r="C27" s="59">
        <f>Tribes!H88</f>
        <v>58413</v>
      </c>
      <c r="D27" s="59">
        <f t="shared" si="1"/>
        <v>1539757</v>
      </c>
      <c r="E27" s="59"/>
      <c r="F27" s="60">
        <v>1</v>
      </c>
      <c r="G27" s="61">
        <f t="shared" si="2"/>
        <v>1539757</v>
      </c>
      <c r="H27" s="60">
        <v>0</v>
      </c>
      <c r="I27" s="61">
        <f t="shared" si="3"/>
        <v>0</v>
      </c>
      <c r="J27" s="61"/>
    </row>
    <row r="28" spans="1:10" ht="12.75">
      <c r="A28" s="54" t="s">
        <v>27</v>
      </c>
      <c r="B28" s="59">
        <f>Formula!I27</f>
        <v>1512135</v>
      </c>
      <c r="C28" s="59"/>
      <c r="D28" s="59">
        <f t="shared" si="1"/>
        <v>1512135</v>
      </c>
      <c r="E28" s="59"/>
      <c r="F28" s="60">
        <v>0.65</v>
      </c>
      <c r="G28" s="61">
        <f t="shared" si="2"/>
        <v>982887.75</v>
      </c>
      <c r="H28" s="60">
        <v>0.25</v>
      </c>
      <c r="I28" s="61">
        <f t="shared" si="3"/>
        <v>378033.75</v>
      </c>
      <c r="J28" s="61"/>
    </row>
    <row r="29" spans="1:10" ht="12.75">
      <c r="A29" s="54" t="s">
        <v>5</v>
      </c>
      <c r="B29" s="59">
        <f>Formula!I28</f>
        <v>4656507</v>
      </c>
      <c r="C29" s="59">
        <f>Tribes!H98</f>
        <v>1863</v>
      </c>
      <c r="D29" s="59">
        <f t="shared" si="1"/>
        <v>4654644</v>
      </c>
      <c r="E29" s="59"/>
      <c r="F29" s="60">
        <v>0.5</v>
      </c>
      <c r="G29" s="61">
        <f t="shared" si="2"/>
        <v>2327322</v>
      </c>
      <c r="H29" s="60">
        <v>0.4</v>
      </c>
      <c r="I29" s="61">
        <f t="shared" si="3"/>
        <v>1861857.6</v>
      </c>
      <c r="J29" s="61"/>
    </row>
    <row r="30" spans="1:10" ht="12.75">
      <c r="A30" s="54" t="s">
        <v>28</v>
      </c>
      <c r="B30" s="59">
        <f>Formula!I29</f>
        <v>6695504</v>
      </c>
      <c r="C30" s="59">
        <f>Tribes!H101</f>
        <v>45912</v>
      </c>
      <c r="D30" s="59">
        <f t="shared" si="1"/>
        <v>6649592</v>
      </c>
      <c r="E30" s="59"/>
      <c r="F30" s="60">
        <v>0.65</v>
      </c>
      <c r="G30" s="61">
        <f t="shared" si="2"/>
        <v>4322234.8</v>
      </c>
      <c r="H30" s="60">
        <v>0.25</v>
      </c>
      <c r="I30" s="61">
        <f t="shared" si="3"/>
        <v>1662398</v>
      </c>
      <c r="J30" s="61"/>
    </row>
    <row r="31" spans="1:10" ht="12.75">
      <c r="A31" s="54" t="s">
        <v>29</v>
      </c>
      <c r="B31" s="59">
        <f>Formula!I30</f>
        <v>4241251</v>
      </c>
      <c r="C31" s="59"/>
      <c r="D31" s="59">
        <f t="shared" si="1"/>
        <v>4241251</v>
      </c>
      <c r="E31" s="59"/>
      <c r="F31" s="60">
        <v>1</v>
      </c>
      <c r="G31" s="61">
        <f t="shared" si="2"/>
        <v>4241251</v>
      </c>
      <c r="H31" s="60">
        <v>0</v>
      </c>
      <c r="I31" s="61">
        <f t="shared" si="3"/>
        <v>0</v>
      </c>
      <c r="J31" s="61"/>
    </row>
    <row r="32" spans="1:10" ht="12.75">
      <c r="A32" s="54" t="s">
        <v>30</v>
      </c>
      <c r="B32" s="59">
        <f>Formula!I31</f>
        <v>623208</v>
      </c>
      <c r="C32" s="59">
        <f>Tribes!H109</f>
        <v>1181</v>
      </c>
      <c r="D32" s="59">
        <f t="shared" si="1"/>
        <v>622027</v>
      </c>
      <c r="E32" s="59"/>
      <c r="F32" s="60">
        <v>0.9</v>
      </c>
      <c r="G32" s="61">
        <f t="shared" si="2"/>
        <v>559824.3</v>
      </c>
      <c r="H32" s="60">
        <v>0.1</v>
      </c>
      <c r="I32" s="61">
        <f t="shared" si="3"/>
        <v>62202.700000000004</v>
      </c>
      <c r="J32" s="61"/>
    </row>
    <row r="33" spans="1:10" ht="12.75">
      <c r="A33" s="54" t="s">
        <v>31</v>
      </c>
      <c r="B33" s="59">
        <f>Formula!I32</f>
        <v>2183857</v>
      </c>
      <c r="C33" s="59"/>
      <c r="D33" s="59">
        <f t="shared" si="1"/>
        <v>2183857</v>
      </c>
      <c r="E33" s="59"/>
      <c r="F33" s="60">
        <v>0.4</v>
      </c>
      <c r="G33" s="61">
        <f t="shared" si="2"/>
        <v>873542.8</v>
      </c>
      <c r="H33" s="60">
        <v>0.4</v>
      </c>
      <c r="I33" s="61">
        <f t="shared" si="3"/>
        <v>873542.8</v>
      </c>
      <c r="J33" s="61"/>
    </row>
    <row r="34" spans="1:10" ht="12.75">
      <c r="A34" s="54" t="s">
        <v>32</v>
      </c>
      <c r="B34" s="59">
        <f>Formula!I33</f>
        <v>701124</v>
      </c>
      <c r="C34" s="59">
        <f>Tribes!H112</f>
        <v>106155</v>
      </c>
      <c r="D34" s="59">
        <f t="shared" si="1"/>
        <v>594969</v>
      </c>
      <c r="E34" s="59"/>
      <c r="F34" s="60">
        <v>0.8</v>
      </c>
      <c r="G34" s="61">
        <f t="shared" si="2"/>
        <v>475975.2</v>
      </c>
      <c r="H34" s="60">
        <v>0.1</v>
      </c>
      <c r="I34" s="61">
        <f t="shared" si="3"/>
        <v>59496.9</v>
      </c>
      <c r="J34" s="61"/>
    </row>
    <row r="35" spans="1:10" ht="12.75">
      <c r="A35" s="54" t="s">
        <v>33</v>
      </c>
      <c r="B35" s="59">
        <f>Formula!I34</f>
        <v>980262</v>
      </c>
      <c r="C35" s="59">
        <f>Tribes!H120</f>
        <v>196</v>
      </c>
      <c r="D35" s="59">
        <f t="shared" si="1"/>
        <v>980066</v>
      </c>
      <c r="E35" s="59"/>
      <c r="F35" s="60">
        <v>0.5</v>
      </c>
      <c r="G35" s="61">
        <f t="shared" si="2"/>
        <v>490033</v>
      </c>
      <c r="H35" s="60">
        <v>0.25</v>
      </c>
      <c r="I35" s="61">
        <f t="shared" si="3"/>
        <v>245016.5</v>
      </c>
      <c r="J35" s="61"/>
    </row>
    <row r="36" spans="1:10" ht="12.75">
      <c r="A36" s="54" t="s">
        <v>34</v>
      </c>
      <c r="B36" s="59">
        <f>Formula!I35</f>
        <v>134993</v>
      </c>
      <c r="C36" s="59"/>
      <c r="D36" s="59">
        <f t="shared" si="1"/>
        <v>134993</v>
      </c>
      <c r="E36" s="59"/>
      <c r="F36" s="60">
        <v>0.5</v>
      </c>
      <c r="G36" s="61">
        <f t="shared" si="2"/>
        <v>67496.5</v>
      </c>
      <c r="H36" s="60">
        <v>0.25</v>
      </c>
      <c r="I36" s="61">
        <f t="shared" si="3"/>
        <v>33748.25</v>
      </c>
      <c r="J36" s="61"/>
    </row>
    <row r="37" spans="1:10" ht="12.75">
      <c r="A37" s="54" t="s">
        <v>6</v>
      </c>
      <c r="B37" s="59">
        <f>Formula!I36</f>
        <v>913159</v>
      </c>
      <c r="C37" s="59"/>
      <c r="D37" s="59">
        <f t="shared" si="1"/>
        <v>913159</v>
      </c>
      <c r="E37" s="59"/>
      <c r="F37" s="60">
        <v>0.9</v>
      </c>
      <c r="G37" s="61">
        <f t="shared" si="2"/>
        <v>821843.1</v>
      </c>
      <c r="H37" s="60">
        <v>0</v>
      </c>
      <c r="I37" s="61">
        <f t="shared" si="3"/>
        <v>0</v>
      </c>
      <c r="J37" s="61"/>
    </row>
    <row r="38" spans="1:10" ht="12.75">
      <c r="A38" s="54" t="s">
        <v>7</v>
      </c>
      <c r="B38" s="59">
        <f>Formula!I37</f>
        <v>4528878</v>
      </c>
      <c r="C38" s="59">
        <f>Tribes!H123</f>
        <v>11323</v>
      </c>
      <c r="D38" s="59">
        <f t="shared" si="1"/>
        <v>4517555</v>
      </c>
      <c r="E38" s="59"/>
      <c r="F38" s="60">
        <v>1</v>
      </c>
      <c r="G38" s="61">
        <f t="shared" si="2"/>
        <v>4517555</v>
      </c>
      <c r="H38" s="60">
        <v>0</v>
      </c>
      <c r="I38" s="61">
        <f t="shared" si="3"/>
        <v>0</v>
      </c>
      <c r="J38" s="61"/>
    </row>
    <row r="39" spans="1:10" ht="12.75">
      <c r="A39" s="54" t="s">
        <v>35</v>
      </c>
      <c r="B39" s="59">
        <f>Formula!I38</f>
        <v>565977</v>
      </c>
      <c r="C39" s="59">
        <f>Tribes!H126</f>
        <v>42410</v>
      </c>
      <c r="D39" s="59">
        <f t="shared" si="1"/>
        <v>523567</v>
      </c>
      <c r="E39" s="59"/>
      <c r="F39" s="60">
        <v>1</v>
      </c>
      <c r="G39" s="61">
        <f t="shared" si="2"/>
        <v>523567</v>
      </c>
      <c r="H39" s="60">
        <v>0</v>
      </c>
      <c r="I39" s="61">
        <f t="shared" si="3"/>
        <v>0</v>
      </c>
      <c r="J39" s="61"/>
    </row>
    <row r="40" spans="1:10" ht="12.75">
      <c r="A40" s="54" t="s">
        <v>8</v>
      </c>
      <c r="B40" s="59">
        <f>Formula!I39</f>
        <v>14991941</v>
      </c>
      <c r="C40" s="59">
        <f>Tribes!H133</f>
        <v>7985</v>
      </c>
      <c r="D40" s="59">
        <f aca="true" t="shared" si="4" ref="D40:D58">B40-C40</f>
        <v>14983956</v>
      </c>
      <c r="E40" s="59"/>
      <c r="F40" s="60">
        <v>0.9</v>
      </c>
      <c r="G40" s="61">
        <f aca="true" t="shared" si="5" ref="G40:G58">D40*F40</f>
        <v>13485560.4</v>
      </c>
      <c r="H40" s="60">
        <v>0.1</v>
      </c>
      <c r="I40" s="61">
        <f aca="true" t="shared" si="6" ref="I40:I58">D40*H40</f>
        <v>1498395.6</v>
      </c>
      <c r="J40" s="61"/>
    </row>
    <row r="41" spans="1:10" ht="12.75">
      <c r="A41" s="54" t="s">
        <v>36</v>
      </c>
      <c r="B41" s="59">
        <f>Formula!I40</f>
        <v>1275214</v>
      </c>
      <c r="C41" s="59">
        <f>Tribes!H137</f>
        <v>22679</v>
      </c>
      <c r="D41" s="59">
        <f t="shared" si="4"/>
        <v>1252535</v>
      </c>
      <c r="E41" s="59"/>
      <c r="F41" s="60">
        <v>0.25</v>
      </c>
      <c r="G41" s="61">
        <f t="shared" si="5"/>
        <v>313133.75</v>
      </c>
      <c r="H41" s="60">
        <v>0.45</v>
      </c>
      <c r="I41" s="61">
        <f t="shared" si="6"/>
        <v>563640.75</v>
      </c>
      <c r="J41" s="61"/>
    </row>
    <row r="42" spans="1:10" ht="12.75">
      <c r="A42" s="54" t="s">
        <v>37</v>
      </c>
      <c r="B42" s="59">
        <f>Formula!I41</f>
        <v>685262</v>
      </c>
      <c r="C42" s="59">
        <f>Tribes!H140</f>
        <v>150141</v>
      </c>
      <c r="D42" s="59">
        <f t="shared" si="4"/>
        <v>535121</v>
      </c>
      <c r="E42" s="59"/>
      <c r="F42" s="60">
        <v>0.5</v>
      </c>
      <c r="G42" s="61">
        <f t="shared" si="5"/>
        <v>267560.5</v>
      </c>
      <c r="H42" s="60">
        <v>0.25</v>
      </c>
      <c r="I42" s="61">
        <f t="shared" si="6"/>
        <v>133780.25</v>
      </c>
      <c r="J42" s="61"/>
    </row>
    <row r="43" spans="1:10" ht="12.75">
      <c r="A43" s="54" t="s">
        <v>38</v>
      </c>
      <c r="B43" s="59">
        <f>Formula!I42</f>
        <v>5435524</v>
      </c>
      <c r="C43" s="59"/>
      <c r="D43" s="59">
        <f t="shared" si="4"/>
        <v>5435524</v>
      </c>
      <c r="E43" s="59"/>
      <c r="F43" s="60">
        <v>0.45</v>
      </c>
      <c r="G43" s="61">
        <f t="shared" si="5"/>
        <v>2445985.8000000003</v>
      </c>
      <c r="H43" s="60">
        <v>0.45</v>
      </c>
      <c r="I43" s="61">
        <f t="shared" si="6"/>
        <v>2445985.8000000003</v>
      </c>
      <c r="J43" s="61"/>
    </row>
    <row r="44" spans="1:10" ht="12.75">
      <c r="A44" s="54" t="s">
        <v>39</v>
      </c>
      <c r="B44" s="59">
        <f>Formula!I43</f>
        <v>762920</v>
      </c>
      <c r="C44" s="59">
        <f>Tribes!H149</f>
        <v>69618</v>
      </c>
      <c r="D44" s="59">
        <f t="shared" si="4"/>
        <v>693302</v>
      </c>
      <c r="E44" s="59"/>
      <c r="F44" s="60">
        <v>0.9</v>
      </c>
      <c r="G44" s="61">
        <f t="shared" si="5"/>
        <v>623971.8</v>
      </c>
      <c r="H44" s="60">
        <v>0</v>
      </c>
      <c r="I44" s="61">
        <f t="shared" si="6"/>
        <v>0</v>
      </c>
      <c r="J44" s="61"/>
    </row>
    <row r="45" spans="1:10" ht="12.75">
      <c r="A45" s="54" t="s">
        <v>40</v>
      </c>
      <c r="B45" s="59">
        <f>Formula!I44</f>
        <v>524896</v>
      </c>
      <c r="C45" s="59">
        <f>Tribes!H181</f>
        <v>9304</v>
      </c>
      <c r="D45" s="59">
        <f t="shared" si="4"/>
        <v>515592</v>
      </c>
      <c r="E45" s="59"/>
      <c r="F45" s="60">
        <v>0.75</v>
      </c>
      <c r="G45" s="61">
        <f t="shared" si="5"/>
        <v>386694</v>
      </c>
      <c r="H45" s="60">
        <v>0.25</v>
      </c>
      <c r="I45" s="61">
        <f t="shared" si="6"/>
        <v>128898</v>
      </c>
      <c r="J45" s="61"/>
    </row>
    <row r="46" spans="1:10" ht="12.75">
      <c r="A46" s="54" t="s">
        <v>9</v>
      </c>
      <c r="B46" s="59">
        <f>Formula!I45</f>
        <v>7652908</v>
      </c>
      <c r="C46" s="59"/>
      <c r="D46" s="59">
        <f t="shared" si="4"/>
        <v>7652908</v>
      </c>
      <c r="E46" s="59"/>
      <c r="F46" s="60">
        <v>0.6</v>
      </c>
      <c r="G46" s="61">
        <f t="shared" si="5"/>
        <v>4591744.8</v>
      </c>
      <c r="H46" s="60">
        <v>0.3</v>
      </c>
      <c r="I46" s="61">
        <f t="shared" si="6"/>
        <v>2295872.4</v>
      </c>
      <c r="J46" s="61"/>
    </row>
    <row r="47" spans="1:10" ht="12.75">
      <c r="A47" s="54" t="s">
        <v>10</v>
      </c>
      <c r="B47" s="59">
        <f>Formula!I46</f>
        <v>844046</v>
      </c>
      <c r="C47" s="59">
        <f>Tribes!H188</f>
        <v>2392</v>
      </c>
      <c r="D47" s="59">
        <f t="shared" si="4"/>
        <v>841654</v>
      </c>
      <c r="E47" s="59"/>
      <c r="F47" s="60">
        <v>0.75</v>
      </c>
      <c r="G47" s="61">
        <f t="shared" si="5"/>
        <v>631240.5</v>
      </c>
      <c r="H47" s="60">
        <v>0.25</v>
      </c>
      <c r="I47" s="61">
        <f t="shared" si="6"/>
        <v>210413.5</v>
      </c>
      <c r="J47" s="61"/>
    </row>
    <row r="48" spans="1:10" ht="12.75">
      <c r="A48" s="54" t="s">
        <v>41</v>
      </c>
      <c r="B48" s="59">
        <f>Formula!I47</f>
        <v>412083</v>
      </c>
      <c r="C48" s="59"/>
      <c r="D48" s="59">
        <f t="shared" si="4"/>
        <v>412083</v>
      </c>
      <c r="E48" s="59"/>
      <c r="F48" s="60">
        <v>0.5</v>
      </c>
      <c r="G48" s="61">
        <f t="shared" si="5"/>
        <v>206041.5</v>
      </c>
      <c r="H48" s="60">
        <v>0.25</v>
      </c>
      <c r="I48" s="61">
        <f t="shared" si="6"/>
        <v>103020.75</v>
      </c>
      <c r="J48" s="61"/>
    </row>
    <row r="49" spans="1:10" ht="12.75">
      <c r="A49" s="54" t="s">
        <v>42</v>
      </c>
      <c r="B49" s="59">
        <f>Formula!I48</f>
        <v>629140</v>
      </c>
      <c r="C49" s="59">
        <f>Tribes!H195</f>
        <v>111861</v>
      </c>
      <c r="D49" s="59">
        <f t="shared" si="4"/>
        <v>517279</v>
      </c>
      <c r="E49" s="59"/>
      <c r="F49" s="60">
        <v>0.9</v>
      </c>
      <c r="G49" s="61">
        <f t="shared" si="5"/>
        <v>465551.10000000003</v>
      </c>
      <c r="H49" s="60">
        <v>0.08</v>
      </c>
      <c r="I49" s="61">
        <f t="shared" si="6"/>
        <v>41382.32</v>
      </c>
      <c r="J49" s="61"/>
    </row>
    <row r="50" spans="1:10" ht="12.75">
      <c r="A50" s="54" t="s">
        <v>43</v>
      </c>
      <c r="B50" s="59">
        <f>Formula!I49</f>
        <v>776212</v>
      </c>
      <c r="C50" s="59"/>
      <c r="D50" s="59">
        <f t="shared" si="4"/>
        <v>776212</v>
      </c>
      <c r="E50" s="59"/>
      <c r="F50" s="60">
        <v>0.33</v>
      </c>
      <c r="G50" s="61">
        <f t="shared" si="5"/>
        <v>256149.96000000002</v>
      </c>
      <c r="H50" s="60">
        <v>0.34</v>
      </c>
      <c r="I50" s="61">
        <f t="shared" si="6"/>
        <v>263912.08</v>
      </c>
      <c r="J50" s="61"/>
    </row>
    <row r="51" spans="1:10" ht="12.75">
      <c r="A51" s="54" t="s">
        <v>44</v>
      </c>
      <c r="B51" s="59">
        <f>Formula!I50</f>
        <v>1584092</v>
      </c>
      <c r="C51" s="59"/>
      <c r="D51" s="59">
        <f t="shared" si="4"/>
        <v>1584092</v>
      </c>
      <c r="E51" s="59"/>
      <c r="F51" s="60">
        <v>0.85</v>
      </c>
      <c r="G51" s="61">
        <f t="shared" si="5"/>
        <v>1346478.2</v>
      </c>
      <c r="H51" s="60">
        <v>0.15</v>
      </c>
      <c r="I51" s="61">
        <f t="shared" si="6"/>
        <v>237613.8</v>
      </c>
      <c r="J51" s="61"/>
    </row>
    <row r="52" spans="1:10" ht="12.75">
      <c r="A52" s="54" t="s">
        <v>45</v>
      </c>
      <c r="B52" s="59">
        <f>Formula!I51</f>
        <v>850778</v>
      </c>
      <c r="C52" s="59">
        <f>Tribes!H204</f>
        <v>16989</v>
      </c>
      <c r="D52" s="59">
        <f t="shared" si="4"/>
        <v>833789</v>
      </c>
      <c r="E52" s="59"/>
      <c r="F52" s="60">
        <v>0.6</v>
      </c>
      <c r="G52" s="61">
        <f t="shared" si="5"/>
        <v>500273.39999999997</v>
      </c>
      <c r="H52" s="60">
        <v>0.3</v>
      </c>
      <c r="I52" s="61">
        <f t="shared" si="6"/>
        <v>250136.69999999998</v>
      </c>
      <c r="J52" s="61"/>
    </row>
    <row r="53" spans="1:10" ht="12.75">
      <c r="A53" s="54" t="s">
        <v>11</v>
      </c>
      <c r="B53" s="59">
        <f>Formula!I52</f>
        <v>680219</v>
      </c>
      <c r="C53" s="59"/>
      <c r="D53" s="59">
        <f t="shared" si="4"/>
        <v>680219</v>
      </c>
      <c r="E53" s="59"/>
      <c r="F53" s="60">
        <v>0.88</v>
      </c>
      <c r="G53" s="61">
        <f t="shared" si="5"/>
        <v>598592.72</v>
      </c>
      <c r="H53" s="60">
        <v>0.02</v>
      </c>
      <c r="I53" s="61">
        <f t="shared" si="6"/>
        <v>13604.380000000001</v>
      </c>
      <c r="J53" s="61"/>
    </row>
    <row r="54" spans="1:10" ht="12.75">
      <c r="A54" s="54" t="s">
        <v>46</v>
      </c>
      <c r="B54" s="59">
        <f>Formula!I53</f>
        <v>1346258</v>
      </c>
      <c r="C54" s="59"/>
      <c r="D54" s="59">
        <f t="shared" si="4"/>
        <v>1346258</v>
      </c>
      <c r="E54" s="59"/>
      <c r="F54" s="60">
        <v>0.5</v>
      </c>
      <c r="G54" s="61">
        <f t="shared" si="5"/>
        <v>673129</v>
      </c>
      <c r="H54" s="60">
        <v>0.28</v>
      </c>
      <c r="I54" s="61">
        <f t="shared" si="6"/>
        <v>376952.24000000005</v>
      </c>
      <c r="J54" s="61"/>
    </row>
    <row r="55" spans="1:10" ht="12.75">
      <c r="A55" s="54" t="s">
        <v>47</v>
      </c>
      <c r="B55" s="59">
        <f>Formula!I54</f>
        <v>776538</v>
      </c>
      <c r="C55" s="59">
        <f>Tribes!H209</f>
        <v>31479</v>
      </c>
      <c r="D55" s="59">
        <f t="shared" si="4"/>
        <v>745059</v>
      </c>
      <c r="E55" s="59"/>
      <c r="F55" s="60">
        <v>0.75</v>
      </c>
      <c r="G55" s="61">
        <f t="shared" si="5"/>
        <v>558794.25</v>
      </c>
      <c r="H55" s="60">
        <v>0.25</v>
      </c>
      <c r="I55" s="61">
        <f t="shared" si="6"/>
        <v>186264.75</v>
      </c>
      <c r="J55" s="61"/>
    </row>
    <row r="56" spans="1:10" ht="12.75">
      <c r="A56" s="54" t="s">
        <v>48</v>
      </c>
      <c r="B56" s="59">
        <f>Formula!I55</f>
        <v>725040</v>
      </c>
      <c r="C56" s="59"/>
      <c r="D56" s="59">
        <f t="shared" si="4"/>
        <v>725040</v>
      </c>
      <c r="E56" s="59"/>
      <c r="F56" s="60">
        <v>0.8</v>
      </c>
      <c r="G56" s="61">
        <f t="shared" si="5"/>
        <v>580032</v>
      </c>
      <c r="H56" s="60">
        <v>0.2</v>
      </c>
      <c r="I56" s="61">
        <f t="shared" si="6"/>
        <v>145008</v>
      </c>
      <c r="J56" s="61"/>
    </row>
    <row r="57" spans="1:10" ht="12.75">
      <c r="A57" s="54" t="s">
        <v>49</v>
      </c>
      <c r="B57" s="59">
        <f>Formula!I56</f>
        <v>3874797</v>
      </c>
      <c r="C57" s="59"/>
      <c r="D57" s="59">
        <f t="shared" si="4"/>
        <v>3874797</v>
      </c>
      <c r="E57" s="59"/>
      <c r="F57" s="60">
        <v>0.41</v>
      </c>
      <c r="G57" s="61">
        <f t="shared" si="5"/>
        <v>1588666.77</v>
      </c>
      <c r="H57" s="60">
        <v>0.27</v>
      </c>
      <c r="I57" s="61">
        <f t="shared" si="6"/>
        <v>1046195.1900000001</v>
      </c>
      <c r="J57" s="61"/>
    </row>
    <row r="58" spans="1:10" ht="13.5" thickBot="1">
      <c r="A58" s="62" t="s">
        <v>50</v>
      </c>
      <c r="B58" s="63">
        <f>Formula!I57</f>
        <v>301663</v>
      </c>
      <c r="C58" s="63">
        <f>Tribes!H231</f>
        <v>10855</v>
      </c>
      <c r="D58" s="63">
        <f t="shared" si="4"/>
        <v>290808</v>
      </c>
      <c r="E58" s="35"/>
      <c r="F58" s="60">
        <v>0.45</v>
      </c>
      <c r="G58" s="61">
        <f t="shared" si="5"/>
        <v>130863.6</v>
      </c>
      <c r="H58" s="60">
        <v>0.45</v>
      </c>
      <c r="I58" s="61">
        <f t="shared" si="6"/>
        <v>130863.6</v>
      </c>
      <c r="J58" s="61"/>
    </row>
    <row r="59" spans="1:10" ht="13.5" thickTop="1">
      <c r="A59" s="64" t="s">
        <v>0</v>
      </c>
      <c r="B59" s="59">
        <f aca="true" t="shared" si="7" ref="B59:I59">SUM(B8:B58)</f>
        <v>99864572</v>
      </c>
      <c r="C59" s="59">
        <f t="shared" si="7"/>
        <v>954158</v>
      </c>
      <c r="D59" s="59">
        <f t="shared" si="7"/>
        <v>98910414</v>
      </c>
      <c r="E59" s="59"/>
      <c r="F59" s="59">
        <f>SUM(F8:F58)</f>
        <v>34.06999999999999</v>
      </c>
      <c r="G59" s="59">
        <f t="shared" si="7"/>
        <v>68981730.24999999</v>
      </c>
      <c r="H59" s="59">
        <f t="shared" si="7"/>
        <v>10.289999999999997</v>
      </c>
      <c r="I59" s="59">
        <f t="shared" si="7"/>
        <v>19453660.959999997</v>
      </c>
      <c r="J59" s="59"/>
    </row>
    <row r="60" ht="12.75">
      <c r="C60" s="64" t="s">
        <v>52</v>
      </c>
    </row>
    <row r="61" spans="1:5" ht="12.75">
      <c r="A61" s="53" t="s">
        <v>334</v>
      </c>
      <c r="B61" s="106" t="s">
        <v>335</v>
      </c>
      <c r="C61" s="53" t="s">
        <v>53</v>
      </c>
      <c r="D61" s="35" t="s">
        <v>100</v>
      </c>
      <c r="E61" s="61" t="s">
        <v>100</v>
      </c>
    </row>
    <row r="62" spans="1:5" ht="12.75">
      <c r="A62" s="53" t="s">
        <v>53</v>
      </c>
      <c r="B62" s="106">
        <v>135428</v>
      </c>
      <c r="C62" s="53" t="s">
        <v>101</v>
      </c>
      <c r="D62" s="35">
        <v>2240</v>
      </c>
      <c r="E62" s="61">
        <v>2240</v>
      </c>
    </row>
    <row r="63" spans="1:5" ht="12.75">
      <c r="A63" s="53" t="s">
        <v>336</v>
      </c>
      <c r="B63" s="106">
        <v>99864572</v>
      </c>
      <c r="C63" s="53" t="s">
        <v>102</v>
      </c>
      <c r="D63" s="35">
        <v>4912</v>
      </c>
      <c r="E63" s="61">
        <v>4912</v>
      </c>
    </row>
    <row r="64" spans="1:5" ht="12.75">
      <c r="A64" s="53" t="s">
        <v>337</v>
      </c>
      <c r="B64" s="61">
        <v>954158</v>
      </c>
      <c r="C64" s="53" t="s">
        <v>103</v>
      </c>
      <c r="D64" s="35">
        <v>1706</v>
      </c>
      <c r="E64" s="61">
        <v>1706</v>
      </c>
    </row>
    <row r="65" spans="3:5" ht="12.75">
      <c r="C65" s="53" t="s">
        <v>104</v>
      </c>
      <c r="D65" s="35">
        <v>121925</v>
      </c>
      <c r="E65" s="61">
        <v>121925</v>
      </c>
    </row>
    <row r="66" spans="3:5" ht="12.75">
      <c r="C66" s="53" t="s">
        <v>105</v>
      </c>
      <c r="D66" s="35">
        <v>4645</v>
      </c>
      <c r="E66" s="61">
        <v>4645</v>
      </c>
    </row>
    <row r="67" spans="3:5" ht="12.75">
      <c r="C67" s="53" t="s">
        <v>0</v>
      </c>
      <c r="D67" s="35">
        <v>135428</v>
      </c>
      <c r="E67" s="61">
        <v>135428</v>
      </c>
    </row>
  </sheetData>
  <sheetProtection/>
  <mergeCells count="2">
    <mergeCell ref="A1:D1"/>
    <mergeCell ref="A2:D2"/>
  </mergeCells>
  <printOptions horizontalCentered="1"/>
  <pageMargins left="0.25" right="0.25" top="0.25" bottom="0.25" header="0" footer="0"/>
  <pageSetup fitToHeight="0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554"/>
  <sheetViews>
    <sheetView workbookViewId="0" topLeftCell="A1">
      <pane xSplit="1" ySplit="10" topLeftCell="C11" activePane="bottomRight" state="frozen"/>
      <selection pane="topLeft" activeCell="A97" sqref="A97"/>
      <selection pane="topRight" activeCell="B97" sqref="B97"/>
      <selection pane="bottomLeft" activeCell="A97" sqref="A97"/>
      <selection pane="bottomRight" activeCell="A2" sqref="A2:I2"/>
    </sheetView>
  </sheetViews>
  <sheetFormatPr defaultColWidth="20.83203125" defaultRowHeight="12.75"/>
  <cols>
    <col min="1" max="1" width="45.83203125" style="66" customWidth="1"/>
    <col min="2" max="2" width="16.33203125" style="66" customWidth="1"/>
    <col min="3" max="3" width="9.5" style="66" customWidth="1"/>
    <col min="4" max="4" width="10.5" style="66" customWidth="1"/>
    <col min="5" max="5" width="18.66015625" style="66" bestFit="1" customWidth="1"/>
    <col min="6" max="6" width="27.83203125" style="66" customWidth="1"/>
    <col min="7" max="7" width="21.33203125" style="66" bestFit="1" customWidth="1"/>
    <col min="8" max="8" width="16.83203125" style="66" customWidth="1"/>
    <col min="9" max="9" width="19.16015625" style="66" customWidth="1"/>
    <col min="10" max="10" width="5" style="66" customWidth="1"/>
    <col min="11" max="16384" width="20.83203125" style="66" customWidth="1"/>
  </cols>
  <sheetData>
    <row r="1" spans="1:10" ht="12.75">
      <c r="A1" s="111" t="str">
        <f>"Allocation of "&amp;TEXT(Formula!E2/1000000,"$0.00")&amp;" Million in FY 2006 LIHEAP Emergency Funds to Reflect Low Income Household Usage of FO, LPG &amp; NG Weighted by FY06 Block Grant Percents"</f>
        <v>Allocation of $100.00 Million in FY 2006 LIHEAP Emergency Funds to Reflect Low Income Household Usage of FO, LPG &amp; NG Weighted by FY06 Block Grant Percents</v>
      </c>
      <c r="B1" s="111"/>
      <c r="C1" s="111"/>
      <c r="D1" s="111"/>
      <c r="E1" s="111"/>
      <c r="F1" s="111"/>
      <c r="G1" s="111"/>
      <c r="H1" s="111"/>
      <c r="I1" s="111"/>
      <c r="J1" s="65" t="s">
        <v>52</v>
      </c>
    </row>
    <row r="2" spans="1:10" ht="12.75">
      <c r="A2" s="112" t="s">
        <v>316</v>
      </c>
      <c r="B2" s="112"/>
      <c r="C2" s="112"/>
      <c r="D2" s="112"/>
      <c r="E2" s="112"/>
      <c r="F2" s="112"/>
      <c r="G2" s="112"/>
      <c r="H2" s="112"/>
      <c r="I2" s="112"/>
      <c r="J2" s="65"/>
    </row>
    <row r="3" spans="1:8" ht="14.25">
      <c r="A3" s="92" t="s">
        <v>318</v>
      </c>
      <c r="C3" s="65"/>
      <c r="H3" s="66" t="s">
        <v>329</v>
      </c>
    </row>
    <row r="4" spans="1:2" ht="12.75">
      <c r="A4" s="65" t="s">
        <v>130</v>
      </c>
      <c r="B4" s="65" t="s">
        <v>131</v>
      </c>
    </row>
    <row r="5" spans="1:2" ht="12.75">
      <c r="A5" s="65" t="s">
        <v>132</v>
      </c>
      <c r="B5" s="65" t="s">
        <v>133</v>
      </c>
    </row>
    <row r="6" spans="1:2" ht="12.75">
      <c r="A6" s="65" t="s">
        <v>134</v>
      </c>
      <c r="B6" s="65" t="s">
        <v>135</v>
      </c>
    </row>
    <row r="7" spans="1:2" ht="12.75">
      <c r="A7" s="65" t="s">
        <v>136</v>
      </c>
      <c r="B7" s="65" t="s">
        <v>137</v>
      </c>
    </row>
    <row r="8" spans="1:8" ht="12.75">
      <c r="A8" s="65"/>
      <c r="B8" s="65"/>
      <c r="F8" s="91" t="s">
        <v>315</v>
      </c>
      <c r="G8" s="67"/>
      <c r="H8" s="67" t="s">
        <v>139</v>
      </c>
    </row>
    <row r="9" spans="2:9" ht="12.75">
      <c r="B9" s="67" t="s">
        <v>140</v>
      </c>
      <c r="C9" s="67" t="s">
        <v>141</v>
      </c>
      <c r="E9" s="67" t="s">
        <v>142</v>
      </c>
      <c r="F9" s="91" t="s">
        <v>314</v>
      </c>
      <c r="G9" s="67" t="s">
        <v>138</v>
      </c>
      <c r="H9" s="67" t="s">
        <v>145</v>
      </c>
      <c r="I9" s="67" t="s">
        <v>146</v>
      </c>
    </row>
    <row r="10" spans="1:9" ht="12.75">
      <c r="A10" s="67" t="s">
        <v>128</v>
      </c>
      <c r="B10" s="67" t="s">
        <v>147</v>
      </c>
      <c r="C10" s="67" t="s">
        <v>148</v>
      </c>
      <c r="D10" s="67" t="s">
        <v>149</v>
      </c>
      <c r="E10" s="67" t="s">
        <v>150</v>
      </c>
      <c r="F10" s="75" t="s">
        <v>313</v>
      </c>
      <c r="G10" s="67" t="s">
        <v>321</v>
      </c>
      <c r="H10" s="67" t="s">
        <v>153</v>
      </c>
      <c r="I10" s="67" t="s">
        <v>154</v>
      </c>
    </row>
    <row r="12" spans="1:9" ht="12.75">
      <c r="A12" s="65" t="s">
        <v>12</v>
      </c>
      <c r="E12" s="68">
        <f>'State Allocations'!B8</f>
        <v>661706</v>
      </c>
      <c r="H12" s="68">
        <f>SUM($G13:$G16)</f>
        <v>4165</v>
      </c>
      <c r="I12" s="68">
        <f>$E12-$H12</f>
        <v>657541</v>
      </c>
    </row>
    <row r="13" spans="1:7" ht="12.75">
      <c r="A13" s="66" t="s">
        <v>155</v>
      </c>
      <c r="B13" s="66">
        <v>449603</v>
      </c>
      <c r="C13" s="66">
        <v>96</v>
      </c>
      <c r="D13" s="67" t="s">
        <v>156</v>
      </c>
      <c r="E13" s="68"/>
      <c r="F13" s="87">
        <v>0.00021354310529481948</v>
      </c>
      <c r="G13" s="68">
        <f>ROUND(F13*$E$12,0)</f>
        <v>141</v>
      </c>
    </row>
    <row r="14" spans="1:9" ht="12.75">
      <c r="A14" s="65" t="s">
        <v>157</v>
      </c>
      <c r="B14" s="69">
        <v>449603</v>
      </c>
      <c r="C14" s="65" t="s">
        <v>52</v>
      </c>
      <c r="D14" s="67" t="s">
        <v>158</v>
      </c>
      <c r="E14" s="68"/>
      <c r="F14" s="88">
        <v>0.0031699910456205833</v>
      </c>
      <c r="G14" s="68">
        <f>ROUND(F14*$E$12,0)</f>
        <v>2098</v>
      </c>
      <c r="I14" s="68"/>
    </row>
    <row r="15" spans="1:9" ht="12.75">
      <c r="A15" s="65" t="s">
        <v>159</v>
      </c>
      <c r="B15" s="69">
        <v>449603</v>
      </c>
      <c r="C15" s="69">
        <v>1075</v>
      </c>
      <c r="D15" s="67" t="s">
        <v>156</v>
      </c>
      <c r="E15" s="68"/>
      <c r="F15" s="88">
        <v>0.002391014898045541</v>
      </c>
      <c r="G15" s="68">
        <f>ROUND(F15*$E$12,0)</f>
        <v>1582</v>
      </c>
      <c r="I15" s="68"/>
    </row>
    <row r="16" spans="1:9" ht="12.75">
      <c r="A16" s="65" t="s">
        <v>160</v>
      </c>
      <c r="B16" s="69">
        <v>449603</v>
      </c>
      <c r="C16" s="69">
        <v>234</v>
      </c>
      <c r="D16" s="67" t="s">
        <v>156</v>
      </c>
      <c r="E16" s="68"/>
      <c r="F16" s="88">
        <v>0.0005204703219807832</v>
      </c>
      <c r="G16" s="68">
        <f>ROUND(F16*$E$12,0)</f>
        <v>344</v>
      </c>
      <c r="I16" s="68"/>
    </row>
    <row r="17" spans="5:7" ht="12.75">
      <c r="E17" s="68"/>
      <c r="F17" s="89"/>
      <c r="G17" s="68"/>
    </row>
    <row r="18" spans="1:9" ht="12.75">
      <c r="A18" s="65" t="s">
        <v>1</v>
      </c>
      <c r="E18" s="68">
        <f>'State Allocations'!B9</f>
        <v>566940</v>
      </c>
      <c r="F18" s="88"/>
      <c r="H18" s="68">
        <f>SUM(G19:G26)</f>
        <v>172917</v>
      </c>
      <c r="I18" s="68">
        <f>E18-H18</f>
        <v>394023</v>
      </c>
    </row>
    <row r="19" spans="1:9" ht="12.75">
      <c r="A19" s="65" t="s">
        <v>161</v>
      </c>
      <c r="B19" s="69">
        <v>37808</v>
      </c>
      <c r="C19" s="71">
        <v>164</v>
      </c>
      <c r="D19" s="67" t="s">
        <v>158</v>
      </c>
      <c r="E19" s="68"/>
      <c r="F19" s="88">
        <v>0.008540014003698509</v>
      </c>
      <c r="G19" s="68">
        <f>ROUND(F19*$E$18,0)</f>
        <v>4842</v>
      </c>
      <c r="I19" s="65"/>
    </row>
    <row r="20" spans="1:9" ht="12.75">
      <c r="A20" s="65" t="s">
        <v>162</v>
      </c>
      <c r="B20" s="69">
        <v>37808</v>
      </c>
      <c r="C20" s="71">
        <v>2029</v>
      </c>
      <c r="D20" s="67" t="s">
        <v>158</v>
      </c>
      <c r="E20" s="68"/>
      <c r="F20" s="88">
        <v>0.13824948163427553</v>
      </c>
      <c r="G20" s="68">
        <f aca="true" t="shared" si="0" ref="G20:G26">ROUND(F20*$E$18,0)</f>
        <v>78379</v>
      </c>
      <c r="I20" s="65"/>
    </row>
    <row r="21" spans="1:7" ht="12.75">
      <c r="A21" s="65" t="s">
        <v>163</v>
      </c>
      <c r="B21" s="69">
        <v>37808</v>
      </c>
      <c r="C21" s="71">
        <v>111</v>
      </c>
      <c r="D21" s="67" t="s">
        <v>158</v>
      </c>
      <c r="E21" s="68"/>
      <c r="F21" s="88">
        <v>0.006801462774591368</v>
      </c>
      <c r="G21" s="68">
        <f t="shared" si="0"/>
        <v>3856</v>
      </c>
    </row>
    <row r="22" spans="1:9" ht="12.75">
      <c r="A22" s="65" t="s">
        <v>164</v>
      </c>
      <c r="B22" s="69">
        <v>37808</v>
      </c>
      <c r="C22" s="71">
        <v>229</v>
      </c>
      <c r="D22" s="67" t="s">
        <v>158</v>
      </c>
      <c r="E22" s="68"/>
      <c r="F22" s="88">
        <v>0.020739953934464747</v>
      </c>
      <c r="G22" s="68">
        <f t="shared" si="0"/>
        <v>11758</v>
      </c>
      <c r="I22" s="65" t="s">
        <v>52</v>
      </c>
    </row>
    <row r="23" spans="1:7" ht="12.75">
      <c r="A23" s="65" t="s">
        <v>165</v>
      </c>
      <c r="B23" s="69">
        <v>37808</v>
      </c>
      <c r="C23" s="71">
        <v>275</v>
      </c>
      <c r="D23" s="67" t="s">
        <v>158</v>
      </c>
      <c r="E23" s="68"/>
      <c r="F23" s="88">
        <v>0.008234996821375306</v>
      </c>
      <c r="G23" s="68">
        <f t="shared" si="0"/>
        <v>4669</v>
      </c>
    </row>
    <row r="24" spans="1:7" ht="12.75">
      <c r="A24" s="65" t="s">
        <v>166</v>
      </c>
      <c r="B24" s="69">
        <v>37808</v>
      </c>
      <c r="C24" s="71">
        <v>8</v>
      </c>
      <c r="D24" s="67" t="s">
        <v>158</v>
      </c>
      <c r="E24" s="68"/>
      <c r="F24" s="88">
        <v>0.0007014928092082492</v>
      </c>
      <c r="G24" s="68">
        <f t="shared" si="0"/>
        <v>398</v>
      </c>
    </row>
    <row r="25" spans="1:7" ht="12.75">
      <c r="A25" s="65" t="s">
        <v>167</v>
      </c>
      <c r="B25" s="69">
        <v>37808</v>
      </c>
      <c r="C25" s="71">
        <v>1385</v>
      </c>
      <c r="D25" s="67" t="s">
        <v>158</v>
      </c>
      <c r="E25" s="68"/>
      <c r="F25" s="88">
        <v>0.07750752850602771</v>
      </c>
      <c r="G25" s="68">
        <f t="shared" si="0"/>
        <v>43942</v>
      </c>
    </row>
    <row r="26" spans="1:9" ht="12.75">
      <c r="A26" s="65" t="s">
        <v>168</v>
      </c>
      <c r="B26" s="69">
        <v>37808</v>
      </c>
      <c r="C26" s="71">
        <v>1171</v>
      </c>
      <c r="D26" s="67" t="s">
        <v>158</v>
      </c>
      <c r="E26" s="68"/>
      <c r="F26" s="88">
        <v>0.044224969089568085</v>
      </c>
      <c r="G26" s="68">
        <f t="shared" si="0"/>
        <v>25073</v>
      </c>
      <c r="I26" s="65" t="s">
        <v>52</v>
      </c>
    </row>
    <row r="27" ht="12.75">
      <c r="F27" s="89"/>
    </row>
    <row r="28" spans="1:9" ht="12.75">
      <c r="A28" s="65" t="s">
        <v>13</v>
      </c>
      <c r="E28" s="68">
        <f>'State Allocations'!B10</f>
        <v>257300</v>
      </c>
      <c r="F28" s="88"/>
      <c r="H28" s="68">
        <f>SUM(G29:G38)</f>
        <v>21011</v>
      </c>
      <c r="I28" s="68">
        <f>E28-H28</f>
        <v>236289</v>
      </c>
    </row>
    <row r="29" spans="1:7" ht="12.75">
      <c r="A29" s="65" t="s">
        <v>169</v>
      </c>
      <c r="B29" s="69">
        <v>343522</v>
      </c>
      <c r="C29" s="71">
        <v>228</v>
      </c>
      <c r="D29" s="67" t="s">
        <v>156</v>
      </c>
      <c r="F29" s="88">
        <v>0.0006637562338892996</v>
      </c>
      <c r="G29" s="68">
        <f>ROUND(F29*$E$28,0)</f>
        <v>171</v>
      </c>
    </row>
    <row r="30" spans="1:7" ht="12.75">
      <c r="A30" s="65" t="s">
        <v>170</v>
      </c>
      <c r="B30" s="69">
        <v>343522</v>
      </c>
      <c r="C30" s="71">
        <v>680</v>
      </c>
      <c r="D30" s="67" t="s">
        <v>156</v>
      </c>
      <c r="E30" s="68"/>
      <c r="F30" s="88">
        <v>0.001979554631034519</v>
      </c>
      <c r="G30" s="68">
        <f aca="true" t="shared" si="1" ref="G30:G38">ROUND(F30*$E$28,0)</f>
        <v>509</v>
      </c>
    </row>
    <row r="31" spans="1:7" ht="12.75">
      <c r="A31" s="65" t="s">
        <v>171</v>
      </c>
      <c r="B31" s="69">
        <v>343522</v>
      </c>
      <c r="C31" s="71">
        <v>142</v>
      </c>
      <c r="D31" s="67" t="s">
        <v>156</v>
      </c>
      <c r="E31" s="68"/>
      <c r="F31" s="88">
        <v>0.0004133217343483062</v>
      </c>
      <c r="G31" s="68">
        <f t="shared" si="1"/>
        <v>106</v>
      </c>
    </row>
    <row r="32" spans="1:7" ht="12.75">
      <c r="A32" s="65" t="s">
        <v>172</v>
      </c>
      <c r="B32" s="69">
        <v>343522</v>
      </c>
      <c r="C32" s="71">
        <v>2301</v>
      </c>
      <c r="D32" s="67" t="s">
        <v>156</v>
      </c>
      <c r="E32" s="68"/>
      <c r="F32" s="88">
        <v>0.006698228894173236</v>
      </c>
      <c r="G32" s="68">
        <f t="shared" si="1"/>
        <v>1723</v>
      </c>
    </row>
    <row r="33" spans="1:7" ht="12.75">
      <c r="A33" s="65" t="s">
        <v>173</v>
      </c>
      <c r="B33" s="69">
        <v>343522</v>
      </c>
      <c r="C33" s="71">
        <v>19524</v>
      </c>
      <c r="D33" s="67" t="s">
        <v>156</v>
      </c>
      <c r="E33" s="68"/>
      <c r="F33" s="88">
        <v>0.05683482112305878</v>
      </c>
      <c r="G33" s="68">
        <f t="shared" si="1"/>
        <v>14624</v>
      </c>
    </row>
    <row r="34" spans="1:7" ht="12.75">
      <c r="A34" s="65" t="s">
        <v>174</v>
      </c>
      <c r="B34" s="69">
        <v>343522</v>
      </c>
      <c r="C34" s="71">
        <v>879</v>
      </c>
      <c r="D34" s="67" t="s">
        <v>156</v>
      </c>
      <c r="E34" s="68"/>
      <c r="F34" s="88">
        <v>0.002558846250356817</v>
      </c>
      <c r="G34" s="68">
        <f t="shared" si="1"/>
        <v>658</v>
      </c>
    </row>
    <row r="35" spans="1:7" ht="12.75">
      <c r="A35" s="65" t="s">
        <v>175</v>
      </c>
      <c r="B35" s="69">
        <v>343522</v>
      </c>
      <c r="C35" s="71">
        <v>50</v>
      </c>
      <c r="D35" s="67" t="s">
        <v>156</v>
      </c>
      <c r="E35" s="68"/>
      <c r="F35" s="88">
        <v>0.0001455010878672438</v>
      </c>
      <c r="G35" s="68">
        <f t="shared" si="1"/>
        <v>37</v>
      </c>
    </row>
    <row r="36" spans="1:7" ht="12.75">
      <c r="A36" s="65" t="s">
        <v>176</v>
      </c>
      <c r="B36" s="69">
        <v>343522</v>
      </c>
      <c r="C36" s="71">
        <v>849</v>
      </c>
      <c r="D36" s="67" t="s">
        <v>156</v>
      </c>
      <c r="E36" s="68"/>
      <c r="F36" s="88">
        <v>0.0024714222916298032</v>
      </c>
      <c r="G36" s="68">
        <f t="shared" si="1"/>
        <v>636</v>
      </c>
    </row>
    <row r="37" spans="1:7" ht="12.75">
      <c r="A37" s="65" t="s">
        <v>177</v>
      </c>
      <c r="B37" s="69">
        <v>343522</v>
      </c>
      <c r="C37" s="71">
        <v>1400</v>
      </c>
      <c r="D37" s="67" t="s">
        <v>156</v>
      </c>
      <c r="F37" s="88">
        <v>0.004075386826356166</v>
      </c>
      <c r="G37" s="68">
        <f t="shared" si="1"/>
        <v>1049</v>
      </c>
    </row>
    <row r="38" spans="1:7" ht="12.75">
      <c r="A38" s="65" t="s">
        <v>178</v>
      </c>
      <c r="B38" s="69">
        <v>343522</v>
      </c>
      <c r="C38" s="71">
        <v>2000</v>
      </c>
      <c r="D38" s="67" t="s">
        <v>156</v>
      </c>
      <c r="F38" s="88">
        <v>0.005822016410796427</v>
      </c>
      <c r="G38" s="68">
        <f t="shared" si="1"/>
        <v>1498</v>
      </c>
    </row>
    <row r="39" spans="1:7" ht="12.75">
      <c r="A39" s="65"/>
      <c r="B39" s="69"/>
      <c r="C39" s="72"/>
      <c r="D39" s="67"/>
      <c r="E39" s="68"/>
      <c r="F39" s="88"/>
      <c r="G39" s="68"/>
    </row>
    <row r="40" spans="1:7" ht="12.75">
      <c r="A40" s="65"/>
      <c r="B40" s="69"/>
      <c r="C40" s="72"/>
      <c r="D40" s="67"/>
      <c r="E40" s="68"/>
      <c r="F40" s="88"/>
      <c r="G40" s="68"/>
    </row>
    <row r="41" spans="1:8" ht="12.75">
      <c r="A41" s="66" t="s">
        <v>330</v>
      </c>
      <c r="B41" s="65"/>
      <c r="F41" s="67"/>
      <c r="G41" s="67" t="s">
        <v>138</v>
      </c>
      <c r="H41" s="67" t="s">
        <v>139</v>
      </c>
    </row>
    <row r="42" spans="2:9" ht="12.75">
      <c r="B42" s="67" t="s">
        <v>140</v>
      </c>
      <c r="C42" s="67" t="s">
        <v>141</v>
      </c>
      <c r="E42" s="67" t="s">
        <v>142</v>
      </c>
      <c r="F42" s="60" t="s">
        <v>143</v>
      </c>
      <c r="G42" s="67" t="s">
        <v>144</v>
      </c>
      <c r="H42" s="67" t="s">
        <v>145</v>
      </c>
      <c r="I42" s="67" t="s">
        <v>146</v>
      </c>
    </row>
    <row r="43" spans="1:9" ht="12.75">
      <c r="A43" s="67" t="s">
        <v>128</v>
      </c>
      <c r="B43" s="67" t="s">
        <v>147</v>
      </c>
      <c r="C43" s="67" t="s">
        <v>148</v>
      </c>
      <c r="D43" s="67" t="s">
        <v>149</v>
      </c>
      <c r="E43" s="67" t="s">
        <v>150</v>
      </c>
      <c r="F43" s="60" t="s">
        <v>151</v>
      </c>
      <c r="G43" s="67" t="s">
        <v>152</v>
      </c>
      <c r="H43" s="67" t="s">
        <v>153</v>
      </c>
      <c r="I43" s="67" t="s">
        <v>154</v>
      </c>
    </row>
    <row r="44" ht="12.75">
      <c r="F44" s="89"/>
    </row>
    <row r="45" spans="1:9" ht="12.75">
      <c r="A45" s="65" t="s">
        <v>15</v>
      </c>
      <c r="E45" s="68">
        <f>'State Allocations'!B12</f>
        <v>4442331</v>
      </c>
      <c r="F45" s="88"/>
      <c r="H45" s="68">
        <f>SUM(G46:G69)</f>
        <v>33396</v>
      </c>
      <c r="I45" s="68">
        <f>E45-H45</f>
        <v>4408935</v>
      </c>
    </row>
    <row r="46" spans="1:9" ht="12.75">
      <c r="A46" s="65" t="s">
        <v>179</v>
      </c>
      <c r="B46" s="69">
        <v>1659723</v>
      </c>
      <c r="C46" s="66">
        <v>130</v>
      </c>
      <c r="D46" s="67" t="s">
        <v>156</v>
      </c>
      <c r="E46" s="68"/>
      <c r="F46" s="88">
        <v>7.832090821663247E-05</v>
      </c>
      <c r="G46" s="68">
        <f>ROUND(F46*$E$45,0)</f>
        <v>348</v>
      </c>
      <c r="H46" s="68"/>
      <c r="I46" s="68"/>
    </row>
    <row r="47" spans="1:7" ht="12.75">
      <c r="A47" s="65" t="s">
        <v>180</v>
      </c>
      <c r="B47" s="69">
        <v>1659723</v>
      </c>
      <c r="C47" s="71">
        <v>24</v>
      </c>
      <c r="D47" s="67" t="s">
        <v>156</v>
      </c>
      <c r="E47" s="68"/>
      <c r="F47" s="88">
        <v>1.4461467724927456E-05</v>
      </c>
      <c r="G47" s="68">
        <f aca="true" t="shared" si="2" ref="G47:G69">ROUND(F47*$E$45,0)</f>
        <v>64</v>
      </c>
    </row>
    <row r="48" spans="1:9" ht="12.75">
      <c r="A48" s="65" t="s">
        <v>181</v>
      </c>
      <c r="B48" s="69">
        <v>1659723</v>
      </c>
      <c r="C48" s="71">
        <v>108</v>
      </c>
      <c r="D48" s="67" t="s">
        <v>156</v>
      </c>
      <c r="E48" s="68"/>
      <c r="F48" s="88">
        <v>6.507104693445452E-05</v>
      </c>
      <c r="G48" s="68">
        <f t="shared" si="2"/>
        <v>289</v>
      </c>
      <c r="I48" s="68"/>
    </row>
    <row r="49" spans="1:9" ht="12.75">
      <c r="A49" s="65" t="s">
        <v>182</v>
      </c>
      <c r="B49" s="69">
        <v>1659723</v>
      </c>
      <c r="C49" s="71">
        <v>50</v>
      </c>
      <c r="D49" s="67" t="s">
        <v>156</v>
      </c>
      <c r="E49" s="68"/>
      <c r="F49" s="88">
        <v>3.0123426237166337E-05</v>
      </c>
      <c r="G49" s="68">
        <f t="shared" si="2"/>
        <v>134</v>
      </c>
      <c r="I49" s="68"/>
    </row>
    <row r="50" spans="1:7" ht="12.75">
      <c r="A50" s="65" t="s">
        <v>183</v>
      </c>
      <c r="B50" s="69">
        <v>1659723</v>
      </c>
      <c r="C50" s="71">
        <v>896</v>
      </c>
      <c r="D50" s="67" t="s">
        <v>156</v>
      </c>
      <c r="E50" s="68"/>
      <c r="F50" s="88">
        <v>0.0005398540376606854</v>
      </c>
      <c r="G50" s="68">
        <f t="shared" si="2"/>
        <v>2398</v>
      </c>
    </row>
    <row r="51" spans="1:7" ht="12.75">
      <c r="A51" s="65" t="s">
        <v>184</v>
      </c>
      <c r="B51" s="69">
        <v>1659723</v>
      </c>
      <c r="C51" s="71">
        <v>136</v>
      </c>
      <c r="D51" s="67" t="s">
        <v>156</v>
      </c>
      <c r="F51" s="88">
        <v>8.19446118894429E-05</v>
      </c>
      <c r="G51" s="68">
        <f t="shared" si="2"/>
        <v>364</v>
      </c>
    </row>
    <row r="52" spans="1:9" ht="12.75">
      <c r="A52" s="65" t="s">
        <v>185</v>
      </c>
      <c r="B52" s="69">
        <v>1659723</v>
      </c>
      <c r="C52" s="71">
        <v>1378</v>
      </c>
      <c r="D52" s="67" t="s">
        <v>156</v>
      </c>
      <c r="E52" s="68"/>
      <c r="F52" s="88">
        <v>0.0008302616516356698</v>
      </c>
      <c r="G52" s="68">
        <f t="shared" si="2"/>
        <v>3688</v>
      </c>
      <c r="I52" s="68"/>
    </row>
    <row r="53" spans="1:9" ht="12.75">
      <c r="A53" s="65" t="s">
        <v>186</v>
      </c>
      <c r="B53" s="69">
        <v>1659723</v>
      </c>
      <c r="C53" s="71">
        <v>650</v>
      </c>
      <c r="D53" s="67" t="s">
        <v>156</v>
      </c>
      <c r="E53" s="68"/>
      <c r="F53" s="88">
        <v>0.0003916267723940385</v>
      </c>
      <c r="G53" s="68">
        <f t="shared" si="2"/>
        <v>1740</v>
      </c>
      <c r="I53" s="68"/>
    </row>
    <row r="54" spans="1:9" ht="12.75">
      <c r="A54" s="65" t="s">
        <v>187</v>
      </c>
      <c r="B54" s="69">
        <v>1659723</v>
      </c>
      <c r="C54" s="71">
        <v>371</v>
      </c>
      <c r="D54" s="67" t="s">
        <v>156</v>
      </c>
      <c r="E54" s="68"/>
      <c r="F54" s="88">
        <v>0.00022353583085956273</v>
      </c>
      <c r="G54" s="68">
        <f t="shared" si="2"/>
        <v>993</v>
      </c>
      <c r="I54" s="68"/>
    </row>
    <row r="55" spans="1:9" ht="12.75">
      <c r="A55" s="65" t="s">
        <v>188</v>
      </c>
      <c r="B55" s="69">
        <v>1659723</v>
      </c>
      <c r="C55" s="71">
        <v>3231</v>
      </c>
      <c r="D55" s="67" t="s">
        <v>156</v>
      </c>
      <c r="E55" s="68"/>
      <c r="F55" s="88">
        <v>0.001946706968179858</v>
      </c>
      <c r="G55" s="68">
        <f t="shared" si="2"/>
        <v>8648</v>
      </c>
      <c r="I55" s="68"/>
    </row>
    <row r="56" spans="1:7" ht="12.75">
      <c r="A56" s="65" t="s">
        <v>189</v>
      </c>
      <c r="B56" s="69">
        <v>1659723</v>
      </c>
      <c r="C56" s="71">
        <v>82</v>
      </c>
      <c r="D56" s="67" t="s">
        <v>158</v>
      </c>
      <c r="E56" s="68"/>
      <c r="F56" s="88">
        <v>9.999643632086656E-05</v>
      </c>
      <c r="G56" s="68">
        <f t="shared" si="2"/>
        <v>444</v>
      </c>
    </row>
    <row r="57" spans="1:9" ht="12.75">
      <c r="A57" s="65" t="s">
        <v>190</v>
      </c>
      <c r="B57" s="69">
        <v>1659723</v>
      </c>
      <c r="C57" s="71">
        <v>779</v>
      </c>
      <c r="D57" s="67" t="s">
        <v>156</v>
      </c>
      <c r="E57" s="68"/>
      <c r="F57" s="88">
        <v>0.00046935855087245335</v>
      </c>
      <c r="G57" s="68">
        <f t="shared" si="2"/>
        <v>2085</v>
      </c>
      <c r="I57" s="68"/>
    </row>
    <row r="58" spans="1:9" ht="12.75">
      <c r="A58" s="65" t="s">
        <v>191</v>
      </c>
      <c r="B58" s="69">
        <v>1659723</v>
      </c>
      <c r="C58" s="71">
        <v>78</v>
      </c>
      <c r="D58" s="67" t="s">
        <v>156</v>
      </c>
      <c r="E58" s="68"/>
      <c r="F58" s="88">
        <v>4.6996991192154716E-05</v>
      </c>
      <c r="G58" s="68">
        <f t="shared" si="2"/>
        <v>209</v>
      </c>
      <c r="I58" s="68"/>
    </row>
    <row r="59" spans="1:7" ht="12.75">
      <c r="A59" s="65" t="s">
        <v>192</v>
      </c>
      <c r="B59" s="69">
        <v>1659723</v>
      </c>
      <c r="C59" s="71">
        <v>375</v>
      </c>
      <c r="D59" s="67" t="s">
        <v>156</v>
      </c>
      <c r="E59" s="68"/>
      <c r="F59" s="88">
        <v>0.0002259368124341856</v>
      </c>
      <c r="G59" s="68">
        <f t="shared" si="2"/>
        <v>1004</v>
      </c>
    </row>
    <row r="60" spans="1:7" ht="12.75">
      <c r="A60" s="65" t="s">
        <v>193</v>
      </c>
      <c r="B60" s="69">
        <v>1659723</v>
      </c>
      <c r="C60" s="71">
        <v>962</v>
      </c>
      <c r="D60" s="67" t="s">
        <v>156</v>
      </c>
      <c r="E60" s="68"/>
      <c r="F60" s="88">
        <v>0.0005796147371626574</v>
      </c>
      <c r="G60" s="68">
        <f t="shared" si="2"/>
        <v>2575</v>
      </c>
    </row>
    <row r="61" spans="1:7" ht="12.75">
      <c r="A61" s="65" t="s">
        <v>194</v>
      </c>
      <c r="B61" s="69">
        <v>1659723</v>
      </c>
      <c r="C61" s="71">
        <v>44</v>
      </c>
      <c r="D61" s="67" t="s">
        <v>156</v>
      </c>
      <c r="E61" s="68"/>
      <c r="F61" s="88">
        <v>2.651083821979399E-05</v>
      </c>
      <c r="G61" s="68">
        <f t="shared" si="2"/>
        <v>118</v>
      </c>
    </row>
    <row r="62" spans="1:9" ht="12.75">
      <c r="A62" s="65" t="s">
        <v>195</v>
      </c>
      <c r="B62" s="69">
        <v>1659723</v>
      </c>
      <c r="C62" s="71">
        <v>894</v>
      </c>
      <c r="D62" s="67" t="s">
        <v>156</v>
      </c>
      <c r="E62" s="68"/>
      <c r="F62" s="88">
        <v>0.0005386424312179359</v>
      </c>
      <c r="G62" s="68">
        <f t="shared" si="2"/>
        <v>2393</v>
      </c>
      <c r="I62" s="68"/>
    </row>
    <row r="63" spans="1:9" ht="12.75">
      <c r="A63" s="65" t="s">
        <v>196</v>
      </c>
      <c r="B63" s="69">
        <v>1659723</v>
      </c>
      <c r="C63" s="71">
        <v>575</v>
      </c>
      <c r="D63" s="67" t="s">
        <v>156</v>
      </c>
      <c r="E63" s="68"/>
      <c r="F63" s="88">
        <v>0.000346441633038289</v>
      </c>
      <c r="G63" s="68">
        <f t="shared" si="2"/>
        <v>1539</v>
      </c>
      <c r="I63" s="68"/>
    </row>
    <row r="64" spans="1:9" ht="12.75">
      <c r="A64" s="65" t="s">
        <v>197</v>
      </c>
      <c r="B64" s="69">
        <v>1659723</v>
      </c>
      <c r="C64" s="71">
        <v>146</v>
      </c>
      <c r="D64" s="67" t="s">
        <v>156</v>
      </c>
      <c r="E64" s="68"/>
      <c r="F64" s="88">
        <v>8.796929713687616E-05</v>
      </c>
      <c r="G64" s="68">
        <f t="shared" si="2"/>
        <v>391</v>
      </c>
      <c r="I64" s="68"/>
    </row>
    <row r="65" spans="1:7" ht="12.75">
      <c r="A65" s="66" t="s">
        <v>198</v>
      </c>
      <c r="B65" s="69">
        <v>1659723</v>
      </c>
      <c r="C65" s="73">
        <v>66</v>
      </c>
      <c r="D65" s="67" t="s">
        <v>156</v>
      </c>
      <c r="F65" s="88">
        <v>3.976069950197195E-05</v>
      </c>
      <c r="G65" s="68">
        <f t="shared" si="2"/>
        <v>177</v>
      </c>
    </row>
    <row r="66" spans="1:7" ht="12.75">
      <c r="A66" s="65" t="s">
        <v>199</v>
      </c>
      <c r="B66" s="69">
        <v>1659723</v>
      </c>
      <c r="C66" s="71">
        <v>66</v>
      </c>
      <c r="D66" s="67" t="s">
        <v>156</v>
      </c>
      <c r="E66" s="68"/>
      <c r="F66" s="88">
        <v>3.976069950197195E-05</v>
      </c>
      <c r="G66" s="68">
        <f t="shared" si="2"/>
        <v>177</v>
      </c>
    </row>
    <row r="67" spans="1:7" ht="12.75">
      <c r="A67" s="65" t="s">
        <v>200</v>
      </c>
      <c r="B67" s="69">
        <v>1659723</v>
      </c>
      <c r="C67" s="71">
        <v>101</v>
      </c>
      <c r="D67" s="67" t="s">
        <v>156</v>
      </c>
      <c r="E67" s="68"/>
      <c r="F67" s="88">
        <v>6.085821352342646E-05</v>
      </c>
      <c r="G67" s="68">
        <f t="shared" si="2"/>
        <v>270</v>
      </c>
    </row>
    <row r="68" spans="1:7" ht="12.75">
      <c r="A68" s="65" t="s">
        <v>201</v>
      </c>
      <c r="B68" s="69">
        <v>1659723</v>
      </c>
      <c r="C68" s="71">
        <v>85</v>
      </c>
      <c r="D68" s="67" t="s">
        <v>156</v>
      </c>
      <c r="E68" s="68"/>
      <c r="F68" s="88">
        <v>5.120982460318277E-05</v>
      </c>
      <c r="G68" s="68">
        <f t="shared" si="2"/>
        <v>227</v>
      </c>
    </row>
    <row r="69" spans="1:7" ht="12.75">
      <c r="A69" s="65" t="s">
        <v>202</v>
      </c>
      <c r="B69" s="69">
        <v>1659723</v>
      </c>
      <c r="C69" s="71">
        <v>1166</v>
      </c>
      <c r="D69" s="67" t="s">
        <v>156</v>
      </c>
      <c r="E69" s="68"/>
      <c r="F69" s="88">
        <v>0.0007025316549968217</v>
      </c>
      <c r="G69" s="68">
        <f t="shared" si="2"/>
        <v>3121</v>
      </c>
    </row>
    <row r="70" spans="1:7" ht="12.75">
      <c r="A70" s="65"/>
      <c r="B70" s="69"/>
      <c r="C70" s="71"/>
      <c r="D70" s="67"/>
      <c r="E70" s="68"/>
      <c r="F70" s="88"/>
      <c r="G70" s="68"/>
    </row>
    <row r="71" spans="1:9" ht="12.75">
      <c r="A71" s="65" t="s">
        <v>16</v>
      </c>
      <c r="B71" s="69"/>
      <c r="C71" s="71"/>
      <c r="D71" s="67"/>
      <c r="E71" s="68">
        <f>'State Allocations'!B13</f>
        <v>1675737</v>
      </c>
      <c r="F71" s="88"/>
      <c r="G71" s="68"/>
      <c r="H71" s="74">
        <f>G72</f>
        <v>1336</v>
      </c>
      <c r="I71" s="68">
        <f>$E71-$H71</f>
        <v>1674401</v>
      </c>
    </row>
    <row r="72" spans="1:7" ht="12.75">
      <c r="A72" s="66" t="s">
        <v>203</v>
      </c>
      <c r="B72" s="66">
        <v>303357</v>
      </c>
      <c r="C72" s="66">
        <v>165</v>
      </c>
      <c r="D72" s="75" t="s">
        <v>204</v>
      </c>
      <c r="F72" s="88">
        <v>0.0007970066724761014</v>
      </c>
      <c r="G72" s="68">
        <f>ROUND(F72*E71,0)</f>
        <v>1336</v>
      </c>
    </row>
    <row r="73" spans="1:7" ht="12.75">
      <c r="A73" s="65"/>
      <c r="B73" s="69"/>
      <c r="C73" s="71"/>
      <c r="D73" s="67"/>
      <c r="E73" s="68"/>
      <c r="F73" s="88"/>
      <c r="G73" s="68"/>
    </row>
    <row r="74" spans="1:9" ht="12.75">
      <c r="A74" s="65" t="s">
        <v>17</v>
      </c>
      <c r="E74" s="68">
        <f>'State Allocations'!B17</f>
        <v>255871</v>
      </c>
      <c r="F74" s="89"/>
      <c r="H74" s="68">
        <f>G75</f>
        <v>66</v>
      </c>
      <c r="I74" s="68">
        <f>$E74-$H74</f>
        <v>255805</v>
      </c>
    </row>
    <row r="75" spans="1:9" ht="12.75">
      <c r="A75" s="65" t="s">
        <v>205</v>
      </c>
      <c r="B75" s="69">
        <v>1205419</v>
      </c>
      <c r="C75" s="69">
        <v>309</v>
      </c>
      <c r="D75" s="67" t="s">
        <v>156</v>
      </c>
      <c r="E75" s="68"/>
      <c r="F75" s="88">
        <v>0.00025634769581410065</v>
      </c>
      <c r="G75" s="68">
        <f>ROUND(F75*E74,0)</f>
        <v>66</v>
      </c>
      <c r="I75" s="68"/>
    </row>
    <row r="76" spans="6:9" ht="12.75">
      <c r="F76" s="89"/>
      <c r="I76" s="68"/>
    </row>
    <row r="77" spans="1:9" ht="12.75">
      <c r="A77" s="65" t="s">
        <v>20</v>
      </c>
      <c r="D77" s="65" t="s">
        <v>52</v>
      </c>
      <c r="E77" s="68">
        <f>'State Allocations'!B20</f>
        <v>401437</v>
      </c>
      <c r="F77" s="88"/>
      <c r="H77" s="68">
        <f>SUM(G78:G80)</f>
        <v>19479</v>
      </c>
      <c r="I77" s="68">
        <f>E77-H77</f>
        <v>381958</v>
      </c>
    </row>
    <row r="78" spans="1:9" ht="12.75">
      <c r="A78" s="65" t="s">
        <v>206</v>
      </c>
      <c r="B78" s="69">
        <v>84047</v>
      </c>
      <c r="C78" s="66">
        <v>113</v>
      </c>
      <c r="D78" s="67" t="s">
        <v>207</v>
      </c>
      <c r="E78" s="68"/>
      <c r="F78" s="88">
        <v>0.003025002200588573</v>
      </c>
      <c r="G78" s="68">
        <f>ROUND(F78*$E$77,0)</f>
        <v>1214</v>
      </c>
      <c r="H78" s="68"/>
      <c r="I78" s="68"/>
    </row>
    <row r="79" spans="1:9" ht="12.75">
      <c r="A79" s="65" t="s">
        <v>208</v>
      </c>
      <c r="B79" s="69">
        <v>84047</v>
      </c>
      <c r="C79" s="69">
        <v>593</v>
      </c>
      <c r="D79" s="67" t="s">
        <v>158</v>
      </c>
      <c r="E79" s="68"/>
      <c r="F79" s="88">
        <v>0.007000037514211879</v>
      </c>
      <c r="G79" s="68">
        <f>ROUND(F79*$E$77,0)</f>
        <v>2810</v>
      </c>
      <c r="I79" s="68"/>
    </row>
    <row r="80" spans="1:9" ht="12.75">
      <c r="A80" s="65" t="s">
        <v>209</v>
      </c>
      <c r="B80" s="69">
        <v>84047</v>
      </c>
      <c r="C80" s="69">
        <v>796</v>
      </c>
      <c r="D80" s="67" t="s">
        <v>158</v>
      </c>
      <c r="E80" s="68"/>
      <c r="F80" s="88">
        <v>0.03849996113723802</v>
      </c>
      <c r="G80" s="68">
        <f>ROUND(F80*$E$77,0)</f>
        <v>15455</v>
      </c>
      <c r="I80" s="68"/>
    </row>
    <row r="81" ht="12.75">
      <c r="F81" s="89"/>
    </row>
    <row r="82" spans="1:9" ht="12.75">
      <c r="A82" s="65" t="s">
        <v>22</v>
      </c>
      <c r="E82" s="68">
        <f>'State Allocations'!B22</f>
        <v>2652651</v>
      </c>
      <c r="F82" s="89"/>
      <c r="H82" s="68">
        <f>G83</f>
        <v>345</v>
      </c>
      <c r="I82" s="68">
        <f>E82-H82</f>
        <v>2652306</v>
      </c>
    </row>
    <row r="83" spans="1:9" ht="12.75">
      <c r="A83" s="65" t="s">
        <v>210</v>
      </c>
      <c r="B83" s="69">
        <v>434091</v>
      </c>
      <c r="C83" s="69">
        <v>0</v>
      </c>
      <c r="D83" s="67" t="s">
        <v>204</v>
      </c>
      <c r="F83" s="88">
        <v>0.0001299519006362495</v>
      </c>
      <c r="G83" s="68">
        <f>ROUND(F83*E82,0)</f>
        <v>345</v>
      </c>
      <c r="I83" s="68"/>
    </row>
    <row r="84" spans="6:9" ht="12.75">
      <c r="F84" s="89"/>
      <c r="I84" s="68"/>
    </row>
    <row r="85" spans="1:9" ht="12.75">
      <c r="A85" s="65" t="s">
        <v>24</v>
      </c>
      <c r="D85" s="65" t="s">
        <v>52</v>
      </c>
      <c r="E85" s="68">
        <f>'State Allocations'!B24</f>
        <v>923223</v>
      </c>
      <c r="F85" s="90"/>
      <c r="H85" s="68">
        <f>G86</f>
        <v>687</v>
      </c>
      <c r="I85" s="68">
        <f>$E85-$H85</f>
        <v>922536</v>
      </c>
    </row>
    <row r="86" spans="1:9" s="86" customFormat="1" ht="12.75">
      <c r="A86" s="81" t="s">
        <v>211</v>
      </c>
      <c r="B86" s="82">
        <v>222152</v>
      </c>
      <c r="C86" s="82">
        <v>20</v>
      </c>
      <c r="D86" s="83" t="s">
        <v>204</v>
      </c>
      <c r="E86" s="84"/>
      <c r="F86" s="85">
        <v>0.0007441394078675427</v>
      </c>
      <c r="G86" s="68">
        <f>ROUND(F86*E85,0)</f>
        <v>687</v>
      </c>
      <c r="I86" s="84"/>
    </row>
    <row r="87" spans="6:9" ht="12.75">
      <c r="F87" s="89"/>
      <c r="I87" s="68"/>
    </row>
    <row r="88" spans="1:9" ht="12.75">
      <c r="A88" s="65" t="s">
        <v>4</v>
      </c>
      <c r="E88" s="68">
        <f>'State Allocations'!B27</f>
        <v>1598170</v>
      </c>
      <c r="F88" s="89"/>
      <c r="H88" s="68">
        <f>SUM(G89:G93)</f>
        <v>58413</v>
      </c>
      <c r="I88" s="68">
        <f>SUM(E88-H88)</f>
        <v>1539757</v>
      </c>
    </row>
    <row r="89" spans="1:9" ht="12.75">
      <c r="A89" s="65" t="s">
        <v>212</v>
      </c>
      <c r="B89" s="69">
        <v>100697</v>
      </c>
      <c r="D89" s="67" t="s">
        <v>158</v>
      </c>
      <c r="F89" s="88">
        <v>0.004349982653408693</v>
      </c>
      <c r="G89" s="68">
        <f>ROUND(F89*$E$88,0)</f>
        <v>6952</v>
      </c>
      <c r="I89" s="68"/>
    </row>
    <row r="90" spans="1:9" ht="12.75">
      <c r="A90" s="65" t="s">
        <v>213</v>
      </c>
      <c r="B90" s="69">
        <v>100697</v>
      </c>
      <c r="D90" s="67" t="s">
        <v>158</v>
      </c>
      <c r="E90" s="68"/>
      <c r="F90" s="88">
        <v>0.004349982653408693</v>
      </c>
      <c r="G90" s="68">
        <f>ROUND(F90*$E$88,0)</f>
        <v>6952</v>
      </c>
      <c r="I90" s="68"/>
    </row>
    <row r="91" spans="1:9" ht="12.75">
      <c r="A91" s="65" t="s">
        <v>214</v>
      </c>
      <c r="B91" s="69">
        <v>100697</v>
      </c>
      <c r="C91" s="69">
        <v>83</v>
      </c>
      <c r="D91" s="67" t="s">
        <v>158</v>
      </c>
      <c r="E91" s="68"/>
      <c r="F91" s="88">
        <v>0.008299995952399157</v>
      </c>
      <c r="G91" s="68">
        <f>ROUND(F91*$E$88,0)</f>
        <v>13265</v>
      </c>
      <c r="I91" s="68"/>
    </row>
    <row r="92" spans="1:9" ht="12.75">
      <c r="A92" s="65" t="s">
        <v>215</v>
      </c>
      <c r="B92" s="69">
        <v>100697</v>
      </c>
      <c r="C92" s="69">
        <v>69</v>
      </c>
      <c r="D92" s="67" t="s">
        <v>158</v>
      </c>
      <c r="E92" s="68"/>
      <c r="F92" s="88">
        <v>0.011579986081232445</v>
      </c>
      <c r="G92" s="68">
        <f>ROUND(F92*$E$88,0)</f>
        <v>18507</v>
      </c>
      <c r="I92" s="68"/>
    </row>
    <row r="93" spans="1:9" ht="12.75">
      <c r="A93" s="65" t="s">
        <v>216</v>
      </c>
      <c r="B93" s="69">
        <v>100697</v>
      </c>
      <c r="C93" s="69">
        <v>95</v>
      </c>
      <c r="D93" s="67" t="s">
        <v>158</v>
      </c>
      <c r="E93" s="68"/>
      <c r="F93" s="88">
        <v>0.00797000143080615</v>
      </c>
      <c r="G93" s="68">
        <f>ROUND(F93*$E$88,0)</f>
        <v>12737</v>
      </c>
      <c r="I93" s="68"/>
    </row>
    <row r="94" spans="1:8" ht="12.75">
      <c r="A94" s="66" t="s">
        <v>331</v>
      </c>
      <c r="B94" s="65"/>
      <c r="F94" s="67"/>
      <c r="G94" s="67" t="s">
        <v>138</v>
      </c>
      <c r="H94" s="67" t="s">
        <v>139</v>
      </c>
    </row>
    <row r="95" spans="2:9" ht="12.75">
      <c r="B95" s="67" t="s">
        <v>140</v>
      </c>
      <c r="C95" s="67" t="s">
        <v>141</v>
      </c>
      <c r="E95" s="67" t="s">
        <v>142</v>
      </c>
      <c r="F95" s="60" t="s">
        <v>143</v>
      </c>
      <c r="G95" s="67" t="s">
        <v>144</v>
      </c>
      <c r="H95" s="67" t="s">
        <v>145</v>
      </c>
      <c r="I95" s="67" t="s">
        <v>146</v>
      </c>
    </row>
    <row r="96" spans="1:9" ht="12.75">
      <c r="A96" s="67" t="s">
        <v>128</v>
      </c>
      <c r="B96" s="67" t="s">
        <v>147</v>
      </c>
      <c r="C96" s="67" t="s">
        <v>148</v>
      </c>
      <c r="D96" s="67" t="s">
        <v>149</v>
      </c>
      <c r="E96" s="67" t="s">
        <v>150</v>
      </c>
      <c r="F96" s="60" t="s">
        <v>151</v>
      </c>
      <c r="G96" s="67" t="s">
        <v>152</v>
      </c>
      <c r="H96" s="67" t="s">
        <v>153</v>
      </c>
      <c r="I96" s="67" t="s">
        <v>154</v>
      </c>
    </row>
    <row r="97" spans="5:9" ht="12.75">
      <c r="E97" s="68"/>
      <c r="F97" s="89"/>
      <c r="G97" s="68"/>
      <c r="I97" s="68"/>
    </row>
    <row r="98" spans="1:9" ht="12.75">
      <c r="A98" s="65" t="s">
        <v>5</v>
      </c>
      <c r="E98" s="68">
        <f>'State Allocations'!B29</f>
        <v>4656507</v>
      </c>
      <c r="F98" s="89"/>
      <c r="H98" s="68">
        <f>G99</f>
        <v>1863</v>
      </c>
      <c r="I98" s="68">
        <f>SUM(E98-H98)</f>
        <v>4654644</v>
      </c>
    </row>
    <row r="99" spans="1:9" ht="12.75">
      <c r="A99" s="65" t="s">
        <v>217</v>
      </c>
      <c r="B99" s="69">
        <v>531692</v>
      </c>
      <c r="C99" s="69">
        <v>127</v>
      </c>
      <c r="D99" s="67" t="s">
        <v>158</v>
      </c>
      <c r="E99" s="68"/>
      <c r="F99" s="88">
        <v>0.0003999964668465162</v>
      </c>
      <c r="G99" s="68">
        <f>ROUND(F99*E98,0)</f>
        <v>1863</v>
      </c>
      <c r="I99" s="68"/>
    </row>
    <row r="100" spans="6:9" ht="12.75">
      <c r="F100" s="89"/>
      <c r="G100" s="68"/>
      <c r="I100" s="68"/>
    </row>
    <row r="101" spans="1:9" ht="12.75">
      <c r="A101" s="65" t="s">
        <v>28</v>
      </c>
      <c r="E101" s="68">
        <f>'State Allocations'!B30</f>
        <v>6695504</v>
      </c>
      <c r="F101" s="89"/>
      <c r="H101" s="68">
        <f>SUM(G102:G107)</f>
        <v>45912</v>
      </c>
      <c r="I101" s="68">
        <f>E101-H101</f>
        <v>6649592</v>
      </c>
    </row>
    <row r="102" spans="1:9" ht="12.75">
      <c r="A102" s="65" t="s">
        <v>218</v>
      </c>
      <c r="B102" s="69">
        <v>856399</v>
      </c>
      <c r="C102" s="69">
        <v>335</v>
      </c>
      <c r="D102" s="67" t="s">
        <v>156</v>
      </c>
      <c r="E102" s="68"/>
      <c r="F102" s="88">
        <v>0.00039117625844405237</v>
      </c>
      <c r="G102" s="68">
        <f aca="true" t="shared" si="3" ref="G102:G107">ROUND(F102*$E$101,0)</f>
        <v>2619</v>
      </c>
      <c r="I102" s="68"/>
    </row>
    <row r="103" spans="1:7" ht="12.75">
      <c r="A103" s="65" t="s">
        <v>219</v>
      </c>
      <c r="B103" s="69">
        <v>856399</v>
      </c>
      <c r="C103" s="69">
        <v>1149</v>
      </c>
      <c r="D103" s="67" t="s">
        <v>156</v>
      </c>
      <c r="E103" s="68"/>
      <c r="F103" s="88">
        <v>0.0013416686310882484</v>
      </c>
      <c r="G103" s="68">
        <f t="shared" si="3"/>
        <v>8983</v>
      </c>
    </row>
    <row r="104" spans="1:7" ht="12.75">
      <c r="A104" s="65" t="s">
        <v>220</v>
      </c>
      <c r="B104" s="69">
        <v>856399</v>
      </c>
      <c r="C104" s="69">
        <v>884</v>
      </c>
      <c r="D104" s="67" t="s">
        <v>156</v>
      </c>
      <c r="E104" s="68"/>
      <c r="F104" s="88">
        <v>0.0010322280580557163</v>
      </c>
      <c r="G104" s="68">
        <f t="shared" si="3"/>
        <v>6911</v>
      </c>
    </row>
    <row r="105" spans="1:7" ht="12.75">
      <c r="A105" s="65" t="s">
        <v>221</v>
      </c>
      <c r="B105" s="69">
        <v>856399</v>
      </c>
      <c r="C105" s="69">
        <v>162</v>
      </c>
      <c r="D105" s="67" t="s">
        <v>156</v>
      </c>
      <c r="E105" s="68"/>
      <c r="F105" s="88">
        <v>0.00018916663749638565</v>
      </c>
      <c r="G105" s="68">
        <f t="shared" si="3"/>
        <v>1267</v>
      </c>
    </row>
    <row r="106" spans="1:7" ht="12.75">
      <c r="A106" s="65" t="s">
        <v>222</v>
      </c>
      <c r="B106" s="69">
        <v>856399</v>
      </c>
      <c r="C106" s="69">
        <v>555</v>
      </c>
      <c r="D106" s="67" t="s">
        <v>156</v>
      </c>
      <c r="E106" s="68"/>
      <c r="F106" s="88">
        <v>0.000648063826782023</v>
      </c>
      <c r="G106" s="68">
        <f t="shared" si="3"/>
        <v>4339</v>
      </c>
    </row>
    <row r="107" spans="1:9" ht="12.75">
      <c r="A107" s="65" t="s">
        <v>223</v>
      </c>
      <c r="B107" s="69">
        <v>856399</v>
      </c>
      <c r="C107" s="69">
        <v>1744</v>
      </c>
      <c r="D107" s="67" t="s">
        <v>204</v>
      </c>
      <c r="E107" s="68"/>
      <c r="F107" s="88">
        <v>0.0032549197740393775</v>
      </c>
      <c r="G107" s="68">
        <f t="shared" si="3"/>
        <v>21793</v>
      </c>
      <c r="I107" s="68"/>
    </row>
    <row r="108" spans="5:9" ht="12.75">
      <c r="E108" s="68"/>
      <c r="F108" s="89"/>
      <c r="G108" s="68"/>
      <c r="I108" s="68"/>
    </row>
    <row r="109" spans="1:9" ht="12.75">
      <c r="A109" s="65" t="s">
        <v>30</v>
      </c>
      <c r="E109" s="68">
        <f>'State Allocations'!B32</f>
        <v>623208</v>
      </c>
      <c r="F109" s="89"/>
      <c r="H109" s="68">
        <f>$G110</f>
        <v>1181</v>
      </c>
      <c r="I109" s="68">
        <f>$E109-$H109</f>
        <v>622027</v>
      </c>
    </row>
    <row r="110" spans="1:9" ht="12.75">
      <c r="A110" s="65" t="s">
        <v>224</v>
      </c>
      <c r="B110" s="69">
        <v>319230</v>
      </c>
      <c r="C110" s="69">
        <v>605</v>
      </c>
      <c r="D110" s="67" t="s">
        <v>207</v>
      </c>
      <c r="E110" s="68"/>
      <c r="F110" s="88">
        <v>0.0018951538328368179</v>
      </c>
      <c r="G110" s="68">
        <f>ROUND(F110*E109,0)</f>
        <v>1181</v>
      </c>
      <c r="I110" s="68"/>
    </row>
    <row r="111" spans="5:9" ht="12.75">
      <c r="E111" s="68"/>
      <c r="F111" s="89"/>
      <c r="G111" s="68"/>
      <c r="I111" s="68"/>
    </row>
    <row r="112" spans="1:9" ht="12.75">
      <c r="A112" s="65" t="s">
        <v>32</v>
      </c>
      <c r="E112" s="68">
        <f>'State Allocations'!B34</f>
        <v>701124</v>
      </c>
      <c r="F112" s="90"/>
      <c r="H112" s="68">
        <f>SUM($G113:$G118)</f>
        <v>106155</v>
      </c>
      <c r="I112" s="68">
        <f>$E112-$H112</f>
        <v>594969</v>
      </c>
    </row>
    <row r="113" spans="1:9" ht="12.75">
      <c r="A113" s="65" t="s">
        <v>225</v>
      </c>
      <c r="C113" s="66">
        <v>928</v>
      </c>
      <c r="D113" s="67" t="s">
        <v>158</v>
      </c>
      <c r="E113" s="68"/>
      <c r="F113" s="88">
        <v>0.029637030170709934</v>
      </c>
      <c r="G113" s="68">
        <f aca="true" t="shared" si="4" ref="G113:G118">ROUND(F113*$E$112,0)</f>
        <v>20779</v>
      </c>
      <c r="I113" s="76"/>
    </row>
    <row r="114" spans="1:7" ht="12.75">
      <c r="A114" s="65" t="s">
        <v>226</v>
      </c>
      <c r="C114" s="66">
        <v>1135</v>
      </c>
      <c r="D114" s="67" t="s">
        <v>158</v>
      </c>
      <c r="E114" s="68"/>
      <c r="F114" s="88">
        <v>0.04791599759269245</v>
      </c>
      <c r="G114" s="68">
        <f t="shared" si="4"/>
        <v>33595</v>
      </c>
    </row>
    <row r="115" spans="1:7" ht="12.75">
      <c r="A115" s="65" t="s">
        <v>227</v>
      </c>
      <c r="C115" s="66">
        <v>246</v>
      </c>
      <c r="D115" s="67" t="s">
        <v>158</v>
      </c>
      <c r="E115" s="68"/>
      <c r="F115" s="88">
        <v>0.013682032913666445</v>
      </c>
      <c r="G115" s="68">
        <f t="shared" si="4"/>
        <v>9593</v>
      </c>
    </row>
    <row r="116" spans="1:7" ht="12.75">
      <c r="A116" s="65" t="s">
        <v>228</v>
      </c>
      <c r="C116" s="66">
        <v>871</v>
      </c>
      <c r="D116" s="67" t="s">
        <v>158</v>
      </c>
      <c r="E116" s="68"/>
      <c r="F116" s="88">
        <v>0.02747102475642804</v>
      </c>
      <c r="G116" s="68">
        <f t="shared" si="4"/>
        <v>19261</v>
      </c>
    </row>
    <row r="117" spans="1:7" ht="12.75">
      <c r="A117" s="65" t="s">
        <v>229</v>
      </c>
      <c r="C117" s="66">
        <v>381</v>
      </c>
      <c r="D117" s="67" t="s">
        <v>158</v>
      </c>
      <c r="E117" s="68"/>
      <c r="F117" s="88">
        <v>0.014597977619175067</v>
      </c>
      <c r="G117" s="68">
        <f t="shared" si="4"/>
        <v>10235</v>
      </c>
    </row>
    <row r="118" spans="1:7" ht="12.75">
      <c r="A118" s="65" t="s">
        <v>230</v>
      </c>
      <c r="C118" s="66">
        <v>536</v>
      </c>
      <c r="D118" s="67" t="s">
        <v>158</v>
      </c>
      <c r="E118" s="68"/>
      <c r="F118" s="88">
        <v>0.018103025209627307</v>
      </c>
      <c r="G118" s="68">
        <f t="shared" si="4"/>
        <v>12692</v>
      </c>
    </row>
    <row r="119" spans="1:7" ht="12.75">
      <c r="A119" s="65"/>
      <c r="D119" s="67"/>
      <c r="E119" s="68"/>
      <c r="F119" s="90"/>
      <c r="G119" s="68"/>
    </row>
    <row r="120" spans="1:9" ht="12.75">
      <c r="A120" s="65" t="s">
        <v>33</v>
      </c>
      <c r="D120" s="67"/>
      <c r="E120" s="68">
        <f>'State Allocations'!B35</f>
        <v>980262</v>
      </c>
      <c r="F120" s="90"/>
      <c r="G120" s="68"/>
      <c r="H120" s="74">
        <f>G121</f>
        <v>196</v>
      </c>
      <c r="I120" s="68">
        <f>$E120-$H120</f>
        <v>980066</v>
      </c>
    </row>
    <row r="121" spans="1:7" ht="12.75">
      <c r="A121" s="65" t="s">
        <v>231</v>
      </c>
      <c r="B121" s="66">
        <v>136572</v>
      </c>
      <c r="D121" s="67" t="s">
        <v>204</v>
      </c>
      <c r="E121" s="68"/>
      <c r="F121" s="88">
        <v>0.00020029933623025523</v>
      </c>
      <c r="G121" s="68">
        <f>ROUND(F121*E120,0)</f>
        <v>196</v>
      </c>
    </row>
    <row r="122" spans="5:9" ht="12.75">
      <c r="E122" s="68"/>
      <c r="F122" s="90"/>
      <c r="G122" s="68"/>
      <c r="I122" s="68"/>
    </row>
    <row r="123" spans="1:9" ht="12.75">
      <c r="A123" s="65" t="s">
        <v>7</v>
      </c>
      <c r="E123" s="68">
        <f>'State Allocations'!B38</f>
        <v>4528878</v>
      </c>
      <c r="F123" s="89"/>
      <c r="H123" s="68">
        <f>SUM($G124:G124)</f>
        <v>11323</v>
      </c>
      <c r="I123" s="68">
        <f>$E123-$H123</f>
        <v>4517555</v>
      </c>
    </row>
    <row r="124" spans="1:9" ht="12.75">
      <c r="A124" s="65" t="s">
        <v>232</v>
      </c>
      <c r="B124" s="69">
        <v>602367</v>
      </c>
      <c r="C124" s="69">
        <v>1506</v>
      </c>
      <c r="D124" s="67" t="s">
        <v>207</v>
      </c>
      <c r="E124" s="68"/>
      <c r="F124" s="88">
        <v>0.00250013202744797</v>
      </c>
      <c r="G124" s="68">
        <f>ROUND(F124*E123,0)</f>
        <v>11323</v>
      </c>
      <c r="I124" s="68"/>
    </row>
    <row r="125" spans="1:9" ht="12.75">
      <c r="A125" s="65"/>
      <c r="B125" s="69"/>
      <c r="C125" s="69"/>
      <c r="D125" s="67"/>
      <c r="E125" s="68"/>
      <c r="F125" s="88"/>
      <c r="G125" s="68"/>
      <c r="I125" s="68"/>
    </row>
    <row r="126" spans="1:9" ht="12.75">
      <c r="A126" s="65" t="s">
        <v>35</v>
      </c>
      <c r="E126" s="68">
        <f>'State Allocations'!B39</f>
        <v>565977</v>
      </c>
      <c r="F126" s="90"/>
      <c r="H126" s="68">
        <f>SUM($G127:$G131)</f>
        <v>42410</v>
      </c>
      <c r="I126" s="68">
        <f>E126-H126</f>
        <v>523567</v>
      </c>
    </row>
    <row r="127" spans="1:9" ht="12.75">
      <c r="A127" s="65" t="s">
        <v>233</v>
      </c>
      <c r="B127" s="69">
        <v>154990</v>
      </c>
      <c r="C127" s="69">
        <v>262</v>
      </c>
      <c r="D127" s="67" t="s">
        <v>207</v>
      </c>
      <c r="E127" s="68"/>
      <c r="F127" s="88">
        <v>0.0016904299974057025</v>
      </c>
      <c r="G127" s="68">
        <f>ROUND(F127*$E$126,0)</f>
        <v>957</v>
      </c>
      <c r="I127" s="68"/>
    </row>
    <row r="128" spans="1:9" ht="12.75">
      <c r="A128" s="65" t="s">
        <v>234</v>
      </c>
      <c r="B128" s="69">
        <v>154990</v>
      </c>
      <c r="C128" s="69">
        <v>261</v>
      </c>
      <c r="D128" s="67" t="s">
        <v>207</v>
      </c>
      <c r="E128" s="68"/>
      <c r="F128" s="88">
        <v>0.001684027972711222</v>
      </c>
      <c r="G128" s="68">
        <f>ROUND(F128*$E$126,0)</f>
        <v>953</v>
      </c>
      <c r="I128" s="68"/>
    </row>
    <row r="129" spans="1:9" ht="12.75">
      <c r="A129" s="65" t="s">
        <v>235</v>
      </c>
      <c r="B129" s="69">
        <v>154990</v>
      </c>
      <c r="C129" s="69">
        <v>9939</v>
      </c>
      <c r="D129" s="67" t="s">
        <v>207</v>
      </c>
      <c r="E129" s="68"/>
      <c r="F129" s="88">
        <v>0.06412671754010967</v>
      </c>
      <c r="G129" s="68">
        <f>ROUND(F129*$E$126,0)</f>
        <v>36294</v>
      </c>
      <c r="I129" s="68"/>
    </row>
    <row r="130" spans="1:9" ht="12.75">
      <c r="A130" s="65" t="s">
        <v>236</v>
      </c>
      <c r="B130" s="69">
        <v>154990</v>
      </c>
      <c r="C130" s="69">
        <v>200</v>
      </c>
      <c r="D130" s="67" t="s">
        <v>207</v>
      </c>
      <c r="E130" s="68"/>
      <c r="F130" s="88">
        <v>0.0012904511930320758</v>
      </c>
      <c r="G130" s="68">
        <f>ROUND(F130*$E$126,0)</f>
        <v>730</v>
      </c>
      <c r="I130" s="68"/>
    </row>
    <row r="131" spans="1:9" ht="12.75">
      <c r="A131" s="65" t="s">
        <v>237</v>
      </c>
      <c r="B131" s="69">
        <v>154990</v>
      </c>
      <c r="C131" s="69">
        <v>952</v>
      </c>
      <c r="D131" s="67" t="s">
        <v>207</v>
      </c>
      <c r="E131" s="68"/>
      <c r="F131" s="88">
        <v>0.00614229947725991</v>
      </c>
      <c r="G131" s="68">
        <f>ROUND(F131*$E$126,0)</f>
        <v>3476</v>
      </c>
      <c r="I131" s="68"/>
    </row>
    <row r="132" ht="12.75">
      <c r="F132" s="89"/>
    </row>
    <row r="133" spans="1:9" ht="12.75">
      <c r="A133" s="65" t="s">
        <v>8</v>
      </c>
      <c r="E133" s="68">
        <f>'State Allocations'!B40</f>
        <v>14991941</v>
      </c>
      <c r="F133" s="89"/>
      <c r="H133" s="68">
        <f>SUM($G134:$G135)</f>
        <v>7985</v>
      </c>
      <c r="I133" s="68">
        <f>$E133-$H133</f>
        <v>14983956</v>
      </c>
    </row>
    <row r="134" spans="1:9" ht="12.75">
      <c r="A134" s="65" t="s">
        <v>238</v>
      </c>
      <c r="B134" s="69">
        <v>1622237</v>
      </c>
      <c r="C134" s="69">
        <v>547</v>
      </c>
      <c r="D134" s="67" t="s">
        <v>156</v>
      </c>
      <c r="E134" s="68"/>
      <c r="F134" s="88">
        <v>0.00033719008728129196</v>
      </c>
      <c r="G134" s="68">
        <f>ROUND(F134*$E$133,0)</f>
        <v>5055</v>
      </c>
      <c r="I134" s="68"/>
    </row>
    <row r="135" spans="1:9" ht="12.75">
      <c r="A135" s="65" t="s">
        <v>239</v>
      </c>
      <c r="B135" s="69">
        <v>1622237</v>
      </c>
      <c r="C135" s="69">
        <v>317</v>
      </c>
      <c r="D135" s="67" t="s">
        <v>156</v>
      </c>
      <c r="E135" s="68"/>
      <c r="F135" s="88">
        <v>0.00019540750172313118</v>
      </c>
      <c r="G135" s="68">
        <f>ROUND(F135*$E$133,0)</f>
        <v>2930</v>
      </c>
      <c r="I135" s="68"/>
    </row>
    <row r="136" spans="5:9" ht="12.75">
      <c r="E136" s="68"/>
      <c r="F136" s="90"/>
      <c r="G136" s="68"/>
      <c r="I136" s="68"/>
    </row>
    <row r="137" spans="1:9" ht="12.75">
      <c r="A137" s="65" t="s">
        <v>36</v>
      </c>
      <c r="E137" s="68">
        <f>'State Allocations'!B41</f>
        <v>1275214</v>
      </c>
      <c r="F137" s="89"/>
      <c r="H137" s="68">
        <f>$G138</f>
        <v>22679</v>
      </c>
      <c r="I137" s="68">
        <f>E137-H137</f>
        <v>1252535</v>
      </c>
    </row>
    <row r="138" spans="1:9" ht="12.75">
      <c r="A138" s="65" t="s">
        <v>240</v>
      </c>
      <c r="B138" s="69">
        <v>618221</v>
      </c>
      <c r="C138" s="69">
        <v>6441</v>
      </c>
      <c r="D138" s="67" t="s">
        <v>158</v>
      </c>
      <c r="E138" s="68"/>
      <c r="F138" s="88">
        <v>0.01778430364695097</v>
      </c>
      <c r="G138" s="68">
        <f>ROUND(F138*E137,0)</f>
        <v>22679</v>
      </c>
      <c r="I138" s="68"/>
    </row>
    <row r="139" ht="12.75">
      <c r="F139" s="89"/>
    </row>
    <row r="140" spans="1:9" ht="12.75">
      <c r="A140" s="65" t="s">
        <v>37</v>
      </c>
      <c r="D140" s="65" t="s">
        <v>52</v>
      </c>
      <c r="E140" s="68">
        <f>'State Allocations'!B42</f>
        <v>685262</v>
      </c>
      <c r="F140" s="90"/>
      <c r="H140" s="68">
        <f>SUM(G141:G144)</f>
        <v>150141</v>
      </c>
      <c r="I140" s="68">
        <f>E140-H140</f>
        <v>535121</v>
      </c>
    </row>
    <row r="141" spans="1:9" ht="12.75">
      <c r="A141" s="65" t="s">
        <v>241</v>
      </c>
      <c r="D141" s="67" t="s">
        <v>158</v>
      </c>
      <c r="E141" s="68"/>
      <c r="F141" s="88">
        <v>0.04500002790275754</v>
      </c>
      <c r="G141" s="68">
        <f>ROUND(F141*$E$140,0)</f>
        <v>30837</v>
      </c>
      <c r="I141" s="68"/>
    </row>
    <row r="142" spans="1:9" ht="12.75">
      <c r="A142" s="65" t="s">
        <v>242</v>
      </c>
      <c r="D142" s="67" t="s">
        <v>158</v>
      </c>
      <c r="E142" s="68"/>
      <c r="F142" s="88">
        <v>0.0389999728669737</v>
      </c>
      <c r="G142" s="68">
        <f>ROUND(F142*$E$140,0)</f>
        <v>26725</v>
      </c>
      <c r="I142" s="68"/>
    </row>
    <row r="143" spans="1:9" ht="12.75">
      <c r="A143" s="65" t="s">
        <v>243</v>
      </c>
      <c r="D143" s="67" t="s">
        <v>158</v>
      </c>
      <c r="E143" s="68"/>
      <c r="F143" s="88">
        <v>0.0389999728669737</v>
      </c>
      <c r="G143" s="68">
        <f>ROUND(F143*$E$140,0)</f>
        <v>26725</v>
      </c>
      <c r="I143" s="68"/>
    </row>
    <row r="144" spans="1:9" ht="12.75">
      <c r="A144" s="65" t="s">
        <v>244</v>
      </c>
      <c r="D144" s="67" t="s">
        <v>158</v>
      </c>
      <c r="E144" s="68"/>
      <c r="F144" s="88">
        <v>0.09609998347002156</v>
      </c>
      <c r="G144" s="68">
        <f>ROUND(F144*$E$140,0)</f>
        <v>65854</v>
      </c>
      <c r="I144" s="68"/>
    </row>
    <row r="145" spans="1:8" ht="12.75">
      <c r="A145" s="66" t="s">
        <v>332</v>
      </c>
      <c r="B145" s="65"/>
      <c r="F145" s="67"/>
      <c r="G145" s="67" t="s">
        <v>138</v>
      </c>
      <c r="H145" s="67" t="s">
        <v>139</v>
      </c>
    </row>
    <row r="146" spans="2:9" ht="12.75">
      <c r="B146" s="67" t="s">
        <v>140</v>
      </c>
      <c r="C146" s="67" t="s">
        <v>141</v>
      </c>
      <c r="E146" s="67" t="s">
        <v>142</v>
      </c>
      <c r="F146" s="60" t="s">
        <v>143</v>
      </c>
      <c r="G146" s="67" t="s">
        <v>144</v>
      </c>
      <c r="H146" s="67" t="s">
        <v>145</v>
      </c>
      <c r="I146" s="67" t="s">
        <v>146</v>
      </c>
    </row>
    <row r="147" spans="1:9" ht="12.75">
      <c r="A147" s="67" t="s">
        <v>128</v>
      </c>
      <c r="B147" s="67" t="s">
        <v>147</v>
      </c>
      <c r="C147" s="67" t="s">
        <v>148</v>
      </c>
      <c r="D147" s="67" t="s">
        <v>149</v>
      </c>
      <c r="E147" s="67" t="s">
        <v>150</v>
      </c>
      <c r="F147" s="60" t="s">
        <v>151</v>
      </c>
      <c r="G147" s="67" t="s">
        <v>152</v>
      </c>
      <c r="H147" s="67" t="s">
        <v>153</v>
      </c>
      <c r="I147" s="67" t="s">
        <v>154</v>
      </c>
    </row>
    <row r="148" spans="5:9" ht="12.75">
      <c r="E148" s="68"/>
      <c r="F148" s="90"/>
      <c r="G148" s="68"/>
      <c r="I148" s="68"/>
    </row>
    <row r="149" spans="1:9" ht="12.75">
      <c r="A149" s="65" t="s">
        <v>39</v>
      </c>
      <c r="E149" s="68">
        <f>'State Allocations'!B44</f>
        <v>762920</v>
      </c>
      <c r="F149" s="90"/>
      <c r="H149" s="68">
        <f>SUM(G150:G179)</f>
        <v>69618</v>
      </c>
      <c r="I149" s="68">
        <f>E149-H149</f>
        <v>693302</v>
      </c>
    </row>
    <row r="150" spans="1:9" ht="12.75">
      <c r="A150" s="65" t="s">
        <v>245</v>
      </c>
      <c r="B150" s="69">
        <v>334782</v>
      </c>
      <c r="C150" s="69">
        <v>195</v>
      </c>
      <c r="D150" s="67" t="s">
        <v>156</v>
      </c>
      <c r="E150" s="68"/>
      <c r="F150" s="88">
        <v>0.0005825009551030529</v>
      </c>
      <c r="G150" s="68">
        <f>ROUND(F150*$E$149,0)</f>
        <v>444</v>
      </c>
      <c r="I150" s="68"/>
    </row>
    <row r="151" spans="1:9" ht="12.75">
      <c r="A151" s="65" t="s">
        <v>246</v>
      </c>
      <c r="B151" s="69">
        <v>334782</v>
      </c>
      <c r="C151" s="69">
        <v>125</v>
      </c>
      <c r="D151" s="67" t="s">
        <v>156</v>
      </c>
      <c r="E151" s="68"/>
      <c r="F151" s="88">
        <v>0.00037334814529658863</v>
      </c>
      <c r="G151" s="68">
        <f aca="true" t="shared" si="5" ref="G151:G179">ROUND(F151*$E$149,0)</f>
        <v>285</v>
      </c>
      <c r="I151" s="68"/>
    </row>
    <row r="152" spans="1:9" ht="12.75">
      <c r="A152" s="65" t="s">
        <v>247</v>
      </c>
      <c r="B152" s="69">
        <v>334782</v>
      </c>
      <c r="C152" s="69">
        <v>168</v>
      </c>
      <c r="D152" s="67" t="s">
        <v>156</v>
      </c>
      <c r="E152" s="68"/>
      <c r="F152" s="88">
        <v>0.0005017980719147025</v>
      </c>
      <c r="G152" s="68">
        <f t="shared" si="5"/>
        <v>383</v>
      </c>
      <c r="I152" s="68"/>
    </row>
    <row r="153" spans="1:9" ht="12.75">
      <c r="A153" s="65" t="s">
        <v>248</v>
      </c>
      <c r="B153" s="69">
        <v>334782</v>
      </c>
      <c r="C153" s="69">
        <v>196</v>
      </c>
      <c r="D153" s="67" t="s">
        <v>156</v>
      </c>
      <c r="E153" s="68"/>
      <c r="F153" s="88">
        <v>0.0005854851453174131</v>
      </c>
      <c r="G153" s="68">
        <f t="shared" si="5"/>
        <v>447</v>
      </c>
      <c r="I153" s="68"/>
    </row>
    <row r="154" spans="1:9" ht="12.75">
      <c r="A154" s="65" t="s">
        <v>249</v>
      </c>
      <c r="B154" s="69">
        <v>334782</v>
      </c>
      <c r="C154" s="69">
        <v>12117</v>
      </c>
      <c r="D154" s="67" t="s">
        <v>156</v>
      </c>
      <c r="E154" s="68"/>
      <c r="F154" s="88">
        <v>0.036193686141167636</v>
      </c>
      <c r="G154" s="68">
        <f t="shared" si="5"/>
        <v>27613</v>
      </c>
      <c r="I154" s="78" t="s">
        <v>52</v>
      </c>
    </row>
    <row r="155" spans="1:9" ht="12.75">
      <c r="A155" s="65" t="s">
        <v>250</v>
      </c>
      <c r="B155" s="69">
        <v>334782</v>
      </c>
      <c r="C155" s="69">
        <v>635</v>
      </c>
      <c r="D155" s="67" t="s">
        <v>156</v>
      </c>
      <c r="E155" s="68"/>
      <c r="F155" s="88">
        <v>0.0018967772497274818</v>
      </c>
      <c r="G155" s="68">
        <f t="shared" si="5"/>
        <v>1447</v>
      </c>
      <c r="I155" s="68"/>
    </row>
    <row r="156" spans="1:9" ht="12.75">
      <c r="A156" s="65" t="s">
        <v>251</v>
      </c>
      <c r="B156" s="69">
        <v>334782</v>
      </c>
      <c r="C156" s="69">
        <v>1377</v>
      </c>
      <c r="D156" s="67" t="s">
        <v>158</v>
      </c>
      <c r="E156" s="68"/>
      <c r="F156" s="88">
        <v>0.004872728504148056</v>
      </c>
      <c r="G156" s="68">
        <f t="shared" si="5"/>
        <v>3718</v>
      </c>
      <c r="I156" s="68"/>
    </row>
    <row r="157" spans="1:9" ht="12.75">
      <c r="A157" s="65" t="s">
        <v>252</v>
      </c>
      <c r="B157" s="69">
        <v>334782</v>
      </c>
      <c r="C157" s="69">
        <v>4412</v>
      </c>
      <c r="D157" s="67" t="s">
        <v>158</v>
      </c>
      <c r="E157" s="68"/>
      <c r="F157" s="88">
        <v>0.013680046932229753</v>
      </c>
      <c r="G157" s="68">
        <f t="shared" si="5"/>
        <v>10437</v>
      </c>
      <c r="I157" s="78" t="s">
        <v>52</v>
      </c>
    </row>
    <row r="158" spans="1:9" ht="12.75">
      <c r="A158" s="65" t="s">
        <v>253</v>
      </c>
      <c r="B158" s="69">
        <v>334782</v>
      </c>
      <c r="C158" s="69">
        <v>256</v>
      </c>
      <c r="D158" s="67" t="s">
        <v>156</v>
      </c>
      <c r="E158" s="68"/>
      <c r="F158" s="88">
        <v>0.0007646663055796508</v>
      </c>
      <c r="G158" s="68">
        <f t="shared" si="5"/>
        <v>583</v>
      </c>
      <c r="I158" s="68"/>
    </row>
    <row r="159" spans="1:9" ht="12.75">
      <c r="A159" s="65" t="s">
        <v>254</v>
      </c>
      <c r="B159" s="69">
        <v>334782</v>
      </c>
      <c r="C159" s="69">
        <v>696</v>
      </c>
      <c r="D159" s="67" t="s">
        <v>158</v>
      </c>
      <c r="E159" s="68"/>
      <c r="F159" s="88">
        <v>0.002184297489511058</v>
      </c>
      <c r="G159" s="68">
        <f t="shared" si="5"/>
        <v>1666</v>
      </c>
      <c r="I159" s="68"/>
    </row>
    <row r="160" spans="1:9" ht="12.75">
      <c r="A160" s="65" t="s">
        <v>255</v>
      </c>
      <c r="B160" s="69">
        <v>334782</v>
      </c>
      <c r="C160" s="69"/>
      <c r="D160" s="67" t="s">
        <v>204</v>
      </c>
      <c r="E160" s="68"/>
      <c r="F160" s="88">
        <v>0.0002594948012487149</v>
      </c>
      <c r="G160" s="68">
        <f t="shared" si="5"/>
        <v>198</v>
      </c>
      <c r="I160" s="68"/>
    </row>
    <row r="161" spans="1:9" ht="12.75">
      <c r="A161" s="65" t="s">
        <v>256</v>
      </c>
      <c r="B161" s="69">
        <v>334782</v>
      </c>
      <c r="C161" s="69"/>
      <c r="D161" s="67" t="s">
        <v>204</v>
      </c>
      <c r="E161" s="68"/>
      <c r="F161" s="88">
        <v>0.0002594948012487149</v>
      </c>
      <c r="G161" s="68">
        <f t="shared" si="5"/>
        <v>198</v>
      </c>
      <c r="I161" s="68"/>
    </row>
    <row r="162" spans="1:7" ht="12.75">
      <c r="A162" s="65" t="s">
        <v>257</v>
      </c>
      <c r="B162" s="69">
        <v>334782</v>
      </c>
      <c r="C162" s="69">
        <v>170</v>
      </c>
      <c r="D162" s="67" t="s">
        <v>156</v>
      </c>
      <c r="F162" s="88">
        <v>0.0005077664523434229</v>
      </c>
      <c r="G162" s="68">
        <f t="shared" si="5"/>
        <v>387</v>
      </c>
    </row>
    <row r="163" spans="1:9" ht="12.75">
      <c r="A163" s="65" t="s">
        <v>258</v>
      </c>
      <c r="B163" s="69">
        <v>334782</v>
      </c>
      <c r="C163" s="69">
        <v>612</v>
      </c>
      <c r="D163" s="67" t="s">
        <v>156</v>
      </c>
      <c r="E163" s="68"/>
      <c r="F163" s="88">
        <v>0.0018280760010968846</v>
      </c>
      <c r="G163" s="68">
        <f t="shared" si="5"/>
        <v>1395</v>
      </c>
      <c r="I163" s="68"/>
    </row>
    <row r="164" spans="1:9" ht="12.75">
      <c r="A164" s="65" t="s">
        <v>259</v>
      </c>
      <c r="B164" s="69">
        <v>334782</v>
      </c>
      <c r="C164" s="69">
        <v>100</v>
      </c>
      <c r="D164" s="67" t="s">
        <v>204</v>
      </c>
      <c r="E164" s="68"/>
      <c r="F164" s="88">
        <v>0.0002986785162372709</v>
      </c>
      <c r="G164" s="68">
        <f t="shared" si="5"/>
        <v>228</v>
      </c>
      <c r="I164" s="68"/>
    </row>
    <row r="165" spans="1:7" ht="12.75">
      <c r="A165" s="65" t="s">
        <v>260</v>
      </c>
      <c r="B165" s="69">
        <v>334782</v>
      </c>
      <c r="C165" s="65" t="s">
        <v>52</v>
      </c>
      <c r="D165" s="67" t="s">
        <v>204</v>
      </c>
      <c r="F165" s="88">
        <v>0.0002594948012487149</v>
      </c>
      <c r="G165" s="68">
        <f t="shared" si="5"/>
        <v>198</v>
      </c>
    </row>
    <row r="166" spans="1:9" ht="12.75">
      <c r="A166" s="65" t="s">
        <v>261</v>
      </c>
      <c r="B166" s="69">
        <v>334782</v>
      </c>
      <c r="C166" s="69">
        <v>3057</v>
      </c>
      <c r="D166" s="67" t="s">
        <v>156</v>
      </c>
      <c r="E166" s="68"/>
      <c r="F166" s="88">
        <v>0.009131297687440717</v>
      </c>
      <c r="G166" s="68">
        <f t="shared" si="5"/>
        <v>6966</v>
      </c>
      <c r="I166" s="68"/>
    </row>
    <row r="167" spans="1:9" ht="12.75">
      <c r="A167" s="65" t="s">
        <v>262</v>
      </c>
      <c r="B167" s="69">
        <v>334782</v>
      </c>
      <c r="C167" s="69">
        <v>678</v>
      </c>
      <c r="D167" s="67" t="s">
        <v>158</v>
      </c>
      <c r="E167" s="68"/>
      <c r="F167" s="88">
        <v>0.0034584818373425605</v>
      </c>
      <c r="G167" s="68">
        <f t="shared" si="5"/>
        <v>2639</v>
      </c>
      <c r="I167" s="68"/>
    </row>
    <row r="168" spans="1:9" ht="12.75">
      <c r="A168" s="65" t="s">
        <v>263</v>
      </c>
      <c r="B168" s="69">
        <v>334782</v>
      </c>
      <c r="C168" s="69">
        <v>92</v>
      </c>
      <c r="D168" s="67" t="s">
        <v>204</v>
      </c>
      <c r="E168" s="68"/>
      <c r="F168" s="88">
        <v>0.0002748049945223891</v>
      </c>
      <c r="G168" s="68">
        <f t="shared" si="5"/>
        <v>210</v>
      </c>
      <c r="I168" s="68"/>
    </row>
    <row r="169" spans="1:9" ht="12.75">
      <c r="A169" s="65" t="s">
        <v>264</v>
      </c>
      <c r="B169" s="69">
        <v>334782</v>
      </c>
      <c r="C169" s="69">
        <v>23</v>
      </c>
      <c r="D169" s="67" t="s">
        <v>204</v>
      </c>
      <c r="E169" s="68"/>
      <c r="F169" s="88">
        <v>0.0002594948012487149</v>
      </c>
      <c r="G169" s="68">
        <f t="shared" si="5"/>
        <v>198</v>
      </c>
      <c r="I169" s="68"/>
    </row>
    <row r="170" spans="1:9" ht="12.75">
      <c r="A170" s="65" t="s">
        <v>265</v>
      </c>
      <c r="B170" s="69">
        <v>334782</v>
      </c>
      <c r="C170" s="69">
        <v>104</v>
      </c>
      <c r="D170" s="67" t="s">
        <v>204</v>
      </c>
      <c r="E170" s="68"/>
      <c r="F170" s="88">
        <v>0.00031068015079502396</v>
      </c>
      <c r="G170" s="68">
        <f t="shared" si="5"/>
        <v>237</v>
      </c>
      <c r="I170" s="68"/>
    </row>
    <row r="171" spans="1:7" ht="12.75">
      <c r="A171" s="65" t="s">
        <v>266</v>
      </c>
      <c r="B171" s="69">
        <v>334782</v>
      </c>
      <c r="C171" s="69">
        <v>225</v>
      </c>
      <c r="D171" s="67" t="s">
        <v>156</v>
      </c>
      <c r="F171" s="88">
        <v>0.0006720915352341716</v>
      </c>
      <c r="G171" s="68">
        <f t="shared" si="5"/>
        <v>513</v>
      </c>
    </row>
    <row r="172" spans="1:7" ht="12.75">
      <c r="A172" s="65" t="s">
        <v>267</v>
      </c>
      <c r="B172" s="69">
        <v>334782</v>
      </c>
      <c r="C172" s="69">
        <v>246</v>
      </c>
      <c r="D172" s="67" t="s">
        <v>156</v>
      </c>
      <c r="F172" s="88">
        <v>0.0007348244034360485</v>
      </c>
      <c r="G172" s="68">
        <f t="shared" si="5"/>
        <v>561</v>
      </c>
    </row>
    <row r="173" spans="1:9" ht="12.75">
      <c r="A173" s="65" t="s">
        <v>268</v>
      </c>
      <c r="B173" s="69">
        <v>334782</v>
      </c>
      <c r="C173" s="69">
        <v>194</v>
      </c>
      <c r="D173" s="67" t="s">
        <v>158</v>
      </c>
      <c r="E173" s="68"/>
      <c r="F173" s="88">
        <v>0.0006441309703996227</v>
      </c>
      <c r="G173" s="68">
        <f t="shared" si="5"/>
        <v>491</v>
      </c>
      <c r="I173" s="68"/>
    </row>
    <row r="174" spans="1:9" ht="12.75">
      <c r="A174" s="65" t="s">
        <v>269</v>
      </c>
      <c r="B174" s="69">
        <v>334782</v>
      </c>
      <c r="C174" s="69">
        <v>606</v>
      </c>
      <c r="D174" s="67" t="s">
        <v>156</v>
      </c>
      <c r="E174" s="68"/>
      <c r="F174" s="88">
        <v>0.001810105986110411</v>
      </c>
      <c r="G174" s="68">
        <f t="shared" si="5"/>
        <v>1381</v>
      </c>
      <c r="I174" s="68"/>
    </row>
    <row r="175" spans="1:9" ht="12.75">
      <c r="A175" s="65" t="s">
        <v>270</v>
      </c>
      <c r="B175" s="69">
        <v>334782</v>
      </c>
      <c r="C175" s="69">
        <v>119</v>
      </c>
      <c r="D175" s="67" t="s">
        <v>204</v>
      </c>
      <c r="E175" s="68"/>
      <c r="F175" s="88">
        <v>0.0003554430040104273</v>
      </c>
      <c r="G175" s="68">
        <f t="shared" si="5"/>
        <v>271</v>
      </c>
      <c r="I175" s="68"/>
    </row>
    <row r="176" spans="1:9" ht="12.75">
      <c r="A176" s="65" t="s">
        <v>271</v>
      </c>
      <c r="B176" s="69">
        <v>334782</v>
      </c>
      <c r="C176" s="69"/>
      <c r="D176" s="67" t="s">
        <v>204</v>
      </c>
      <c r="E176" s="68"/>
      <c r="F176" s="88">
        <v>0.0002594948012487149</v>
      </c>
      <c r="G176" s="68">
        <f t="shared" si="5"/>
        <v>198</v>
      </c>
      <c r="I176" s="68"/>
    </row>
    <row r="177" spans="1:9" ht="12.75">
      <c r="A177" s="65" t="s">
        <v>272</v>
      </c>
      <c r="B177" s="69">
        <v>334782</v>
      </c>
      <c r="C177" s="69">
        <v>34</v>
      </c>
      <c r="D177" s="67" t="s">
        <v>204</v>
      </c>
      <c r="E177" s="68"/>
      <c r="F177" s="88">
        <v>0.0002594948012487149</v>
      </c>
      <c r="G177" s="68">
        <f t="shared" si="5"/>
        <v>198</v>
      </c>
      <c r="I177" s="68"/>
    </row>
    <row r="178" spans="1:9" ht="12.75">
      <c r="A178" s="65" t="s">
        <v>273</v>
      </c>
      <c r="B178" s="69">
        <v>334782</v>
      </c>
      <c r="C178" s="69">
        <v>2600</v>
      </c>
      <c r="D178" s="67" t="s">
        <v>156</v>
      </c>
      <c r="E178" s="68"/>
      <c r="F178" s="88">
        <v>0.007766225285471853</v>
      </c>
      <c r="G178" s="68">
        <f t="shared" si="5"/>
        <v>5925</v>
      </c>
      <c r="I178" s="68"/>
    </row>
    <row r="179" spans="1:9" ht="12.75">
      <c r="A179" s="65" t="s">
        <v>274</v>
      </c>
      <c r="B179" s="69">
        <v>334782</v>
      </c>
      <c r="C179" s="69">
        <v>89</v>
      </c>
      <c r="D179" s="67" t="s">
        <v>204</v>
      </c>
      <c r="E179" s="68"/>
      <c r="F179" s="88">
        <v>0.00026585242387930846</v>
      </c>
      <c r="G179" s="68">
        <f t="shared" si="5"/>
        <v>203</v>
      </c>
      <c r="I179" s="68"/>
    </row>
    <row r="180" spans="1:9" ht="12.75">
      <c r="A180" s="65" t="s">
        <v>275</v>
      </c>
      <c r="E180" s="68"/>
      <c r="F180" s="89"/>
      <c r="G180" s="68"/>
      <c r="I180" s="68"/>
    </row>
    <row r="181" spans="1:9" ht="12.75">
      <c r="A181" s="65" t="s">
        <v>40</v>
      </c>
      <c r="D181" s="65" t="s">
        <v>52</v>
      </c>
      <c r="E181" s="68">
        <f>'State Allocations'!B45</f>
        <v>524896</v>
      </c>
      <c r="F181" s="88"/>
      <c r="H181" s="68">
        <f>SUM(G182:G186)</f>
        <v>9304</v>
      </c>
      <c r="I181" s="68">
        <f>E181-H181</f>
        <v>515592</v>
      </c>
    </row>
    <row r="182" spans="1:9" ht="12.75">
      <c r="A182" s="65" t="s">
        <v>276</v>
      </c>
      <c r="B182" s="69">
        <v>239405</v>
      </c>
      <c r="D182" s="67" t="s">
        <v>204</v>
      </c>
      <c r="E182" s="68"/>
      <c r="F182" s="88">
        <v>0.004888520789016182</v>
      </c>
      <c r="G182" s="68">
        <f>ROUND(F182*$E$181,0)</f>
        <v>2566</v>
      </c>
      <c r="H182" s="68"/>
      <c r="I182" s="68"/>
    </row>
    <row r="183" spans="1:9" ht="12.75">
      <c r="A183" s="65" t="s">
        <v>277</v>
      </c>
      <c r="B183" s="69">
        <v>239405</v>
      </c>
      <c r="C183" s="66">
        <v>150</v>
      </c>
      <c r="D183" s="67" t="s">
        <v>207</v>
      </c>
      <c r="E183" s="68"/>
      <c r="F183" s="88">
        <v>0.0006265467513003869</v>
      </c>
      <c r="G183" s="68">
        <f>ROUND(F183*$E$181,0)</f>
        <v>329</v>
      </c>
      <c r="H183" s="68"/>
      <c r="I183" s="68"/>
    </row>
    <row r="184" spans="1:9" ht="12.75">
      <c r="A184" s="65" t="s">
        <v>278</v>
      </c>
      <c r="B184" s="69">
        <v>239405</v>
      </c>
      <c r="D184" s="67" t="s">
        <v>204</v>
      </c>
      <c r="E184" s="68"/>
      <c r="F184" s="88">
        <v>0.0047165824079476665</v>
      </c>
      <c r="G184" s="68">
        <f>ROUND(F184*$E$181,0)</f>
        <v>2476</v>
      </c>
      <c r="H184" s="68"/>
      <c r="I184" s="68"/>
    </row>
    <row r="185" spans="1:9" ht="12.75">
      <c r="A185" s="65" t="s">
        <v>279</v>
      </c>
      <c r="B185" s="69">
        <v>239405</v>
      </c>
      <c r="D185" s="67" t="s">
        <v>204</v>
      </c>
      <c r="E185" s="68"/>
      <c r="F185" s="88">
        <v>0.0004936030078521955</v>
      </c>
      <c r="G185" s="68">
        <f>ROUND(F185*$E$181,0)</f>
        <v>259</v>
      </c>
      <c r="H185" s="68"/>
      <c r="I185" s="68"/>
    </row>
    <row r="186" spans="1:9" ht="12.75">
      <c r="A186" s="65" t="s">
        <v>280</v>
      </c>
      <c r="B186" s="69">
        <v>239405</v>
      </c>
      <c r="D186" s="67" t="s">
        <v>158</v>
      </c>
      <c r="E186" s="68"/>
      <c r="F186" s="77">
        <v>0.006999989922271923</v>
      </c>
      <c r="G186" s="68">
        <f>ROUND(F186*$E$181,0)</f>
        <v>3674</v>
      </c>
      <c r="H186" s="68"/>
      <c r="I186" s="68"/>
    </row>
    <row r="187" ht="12.75">
      <c r="F187" s="89"/>
    </row>
    <row r="188" spans="1:9" ht="12.75">
      <c r="A188" s="65" t="s">
        <v>10</v>
      </c>
      <c r="E188" s="68">
        <f>'State Allocations'!B47</f>
        <v>844046</v>
      </c>
      <c r="F188" s="89"/>
      <c r="H188" s="68">
        <f>$G189</f>
        <v>2392</v>
      </c>
      <c r="I188" s="68">
        <f>SUM($E188-$H188)</f>
        <v>841654</v>
      </c>
    </row>
    <row r="189" spans="1:7" ht="12.75">
      <c r="A189" s="65" t="s">
        <v>281</v>
      </c>
      <c r="B189" s="69">
        <v>84702</v>
      </c>
      <c r="C189" s="79">
        <v>240</v>
      </c>
      <c r="D189" s="67" t="s">
        <v>156</v>
      </c>
      <c r="E189" s="68"/>
      <c r="F189" s="88">
        <v>0.002833486275437696</v>
      </c>
      <c r="G189" s="68">
        <f>ROUND(F189*E188,0)</f>
        <v>2392</v>
      </c>
    </row>
    <row r="190" spans="1:9" ht="12.75">
      <c r="A190" s="67"/>
      <c r="B190" s="67"/>
      <c r="C190" s="67"/>
      <c r="D190" s="67"/>
      <c r="E190" s="67"/>
      <c r="F190" s="67"/>
      <c r="G190" s="67"/>
      <c r="H190" s="67"/>
      <c r="I190" s="67"/>
    </row>
    <row r="191" spans="1:8" ht="12.75">
      <c r="A191" s="66" t="s">
        <v>333</v>
      </c>
      <c r="B191" s="65"/>
      <c r="F191" s="67"/>
      <c r="G191" s="67" t="s">
        <v>138</v>
      </c>
      <c r="H191" s="67" t="s">
        <v>139</v>
      </c>
    </row>
    <row r="192" spans="2:9" ht="12.75">
      <c r="B192" s="67" t="s">
        <v>140</v>
      </c>
      <c r="C192" s="67" t="s">
        <v>141</v>
      </c>
      <c r="E192" s="67" t="s">
        <v>142</v>
      </c>
      <c r="F192" s="60" t="s">
        <v>143</v>
      </c>
      <c r="G192" s="67" t="s">
        <v>144</v>
      </c>
      <c r="H192" s="67" t="s">
        <v>145</v>
      </c>
      <c r="I192" s="67" t="s">
        <v>146</v>
      </c>
    </row>
    <row r="193" spans="1:9" ht="12.75">
      <c r="A193" s="67" t="s">
        <v>128</v>
      </c>
      <c r="B193" s="67" t="s">
        <v>147</v>
      </c>
      <c r="C193" s="67" t="s">
        <v>148</v>
      </c>
      <c r="D193" s="67" t="s">
        <v>149</v>
      </c>
      <c r="E193" s="67" t="s">
        <v>150</v>
      </c>
      <c r="F193" s="60" t="s">
        <v>151</v>
      </c>
      <c r="G193" s="67" t="s">
        <v>152</v>
      </c>
      <c r="H193" s="67" t="s">
        <v>153</v>
      </c>
      <c r="I193" s="67" t="s">
        <v>154</v>
      </c>
    </row>
    <row r="194" spans="5:9" ht="12.75">
      <c r="E194" s="68"/>
      <c r="F194" s="90"/>
      <c r="G194" s="68"/>
      <c r="I194" s="68"/>
    </row>
    <row r="195" spans="1:9" ht="12.75">
      <c r="A195" s="65" t="s">
        <v>42</v>
      </c>
      <c r="D195" s="65" t="s">
        <v>52</v>
      </c>
      <c r="E195" s="68">
        <f>'State Allocations'!B49</f>
        <v>629140</v>
      </c>
      <c r="F195" s="90"/>
      <c r="H195" s="68">
        <f>SUM(G196:G202)</f>
        <v>111861</v>
      </c>
      <c r="I195" s="68">
        <f>E195-H195</f>
        <v>517279</v>
      </c>
    </row>
    <row r="196" spans="1:9" ht="12.75">
      <c r="A196" s="65" t="s">
        <v>282</v>
      </c>
      <c r="D196" s="67" t="s">
        <v>158</v>
      </c>
      <c r="E196" s="68"/>
      <c r="F196" s="88">
        <v>0.028200018101843246</v>
      </c>
      <c r="G196" s="68">
        <f>ROUND(F196*$E$195,0)</f>
        <v>17742</v>
      </c>
      <c r="I196" s="68"/>
    </row>
    <row r="197" spans="1:9" ht="12.75">
      <c r="A197" s="65" t="s">
        <v>283</v>
      </c>
      <c r="D197" s="67" t="s">
        <v>158</v>
      </c>
      <c r="E197" s="68"/>
      <c r="F197" s="88">
        <v>0.0037999654706550325</v>
      </c>
      <c r="G197" s="68">
        <f aca="true" t="shared" si="6" ref="G197:G202">ROUND(F197*$E$195,0)</f>
        <v>2391</v>
      </c>
      <c r="I197" s="68"/>
    </row>
    <row r="198" spans="1:9" ht="12.75">
      <c r="A198" s="65" t="s">
        <v>284</v>
      </c>
      <c r="D198" s="67" t="s">
        <v>158</v>
      </c>
      <c r="E198" s="68"/>
      <c r="F198" s="88">
        <v>0.0584000055600775</v>
      </c>
      <c r="G198" s="68">
        <f t="shared" si="6"/>
        <v>36742</v>
      </c>
      <c r="I198" s="68"/>
    </row>
    <row r="199" spans="1:9" ht="12.75">
      <c r="A199" s="65" t="s">
        <v>285</v>
      </c>
      <c r="D199" s="67" t="s">
        <v>158</v>
      </c>
      <c r="E199" s="68"/>
      <c r="F199" s="88">
        <v>0.046000006002356396</v>
      </c>
      <c r="G199" s="68">
        <f t="shared" si="6"/>
        <v>28940</v>
      </c>
      <c r="I199" s="68"/>
    </row>
    <row r="200" spans="1:9" ht="12.75">
      <c r="A200" s="65" t="s">
        <v>286</v>
      </c>
      <c r="D200" s="67" t="s">
        <v>158</v>
      </c>
      <c r="E200" s="68"/>
      <c r="F200" s="88">
        <v>0.018600038825768495</v>
      </c>
      <c r="G200" s="68">
        <f t="shared" si="6"/>
        <v>11702</v>
      </c>
      <c r="I200" s="68"/>
    </row>
    <row r="201" spans="1:9" ht="12.75">
      <c r="A201" s="65" t="s">
        <v>287</v>
      </c>
      <c r="D201" s="67" t="s">
        <v>158</v>
      </c>
      <c r="E201" s="68"/>
      <c r="F201" s="88">
        <v>0.011600027610839433</v>
      </c>
      <c r="G201" s="68">
        <f t="shared" si="6"/>
        <v>7298</v>
      </c>
      <c r="I201" s="68"/>
    </row>
    <row r="202" spans="1:9" ht="12.75">
      <c r="A202" s="65" t="s">
        <v>288</v>
      </c>
      <c r="D202" s="67" t="s">
        <v>158</v>
      </c>
      <c r="E202" s="68"/>
      <c r="F202" s="88">
        <v>0.011200002148211765</v>
      </c>
      <c r="G202" s="68">
        <f t="shared" si="6"/>
        <v>7046</v>
      </c>
      <c r="I202" s="68"/>
    </row>
    <row r="203" spans="1:9" ht="12.75">
      <c r="A203" s="65"/>
      <c r="D203" s="67"/>
      <c r="E203" s="68"/>
      <c r="F203" s="90"/>
      <c r="G203" s="68"/>
      <c r="I203" s="68"/>
    </row>
    <row r="204" spans="1:9" ht="12.75">
      <c r="A204" s="65" t="s">
        <v>45</v>
      </c>
      <c r="D204" s="65" t="s">
        <v>52</v>
      </c>
      <c r="E204" s="68">
        <f>'State Allocations'!B52</f>
        <v>850778</v>
      </c>
      <c r="F204" s="88"/>
      <c r="H204" s="68">
        <f>SUM(G205:G207)</f>
        <v>16989</v>
      </c>
      <c r="I204" s="68">
        <f>E204-H204</f>
        <v>833789</v>
      </c>
    </row>
    <row r="205" spans="1:9" ht="12.75">
      <c r="A205" s="65" t="s">
        <v>235</v>
      </c>
      <c r="B205" s="69">
        <v>110884</v>
      </c>
      <c r="C205" s="69">
        <v>997</v>
      </c>
      <c r="D205" s="67" t="s">
        <v>207</v>
      </c>
      <c r="E205" s="68"/>
      <c r="F205" s="88">
        <v>0.008991396419851418</v>
      </c>
      <c r="G205" s="68">
        <f>ROUND(F205*$E$204,0)</f>
        <v>7650</v>
      </c>
      <c r="I205" s="68"/>
    </row>
    <row r="206" spans="1:7" ht="12.75">
      <c r="A206" s="65" t="s">
        <v>289</v>
      </c>
      <c r="B206" s="69">
        <v>110884</v>
      </c>
      <c r="D206" s="67" t="s">
        <v>204</v>
      </c>
      <c r="E206" s="68"/>
      <c r="F206" s="88">
        <v>0.00411621727864527</v>
      </c>
      <c r="G206" s="68">
        <f>ROUND(F206*$E$204,0)</f>
        <v>3502</v>
      </c>
    </row>
    <row r="207" spans="1:9" ht="12.75">
      <c r="A207" s="65" t="s">
        <v>290</v>
      </c>
      <c r="B207" s="69">
        <v>110884</v>
      </c>
      <c r="D207" s="67" t="s">
        <v>204</v>
      </c>
      <c r="E207" s="68"/>
      <c r="F207" s="88">
        <v>0.006860362131075451</v>
      </c>
      <c r="G207" s="68">
        <f>ROUND(F207*$E$204,0)</f>
        <v>5837</v>
      </c>
      <c r="I207" s="68"/>
    </row>
    <row r="208" spans="5:9" ht="12.75">
      <c r="E208" s="68"/>
      <c r="F208" s="89"/>
      <c r="G208" s="68"/>
      <c r="I208" s="68"/>
    </row>
    <row r="209" spans="1:9" ht="12.75">
      <c r="A209" s="65" t="s">
        <v>47</v>
      </c>
      <c r="E209" s="68">
        <f>'State Allocations'!B55</f>
        <v>776538</v>
      </c>
      <c r="F209" s="89"/>
      <c r="H209" s="68">
        <f>SUM(G210:G229)</f>
        <v>31479</v>
      </c>
      <c r="I209" s="68">
        <f>E209-H209</f>
        <v>745059</v>
      </c>
    </row>
    <row r="210" spans="1:7" ht="12.75">
      <c r="A210" s="65" t="s">
        <v>291</v>
      </c>
      <c r="B210" s="68"/>
      <c r="D210" s="67" t="s">
        <v>158</v>
      </c>
      <c r="E210" s="68"/>
      <c r="F210" s="88">
        <v>0.008470001840288146</v>
      </c>
      <c r="G210" s="68">
        <f>ROUND(F210*$E$209,0)</f>
        <v>6577</v>
      </c>
    </row>
    <row r="211" spans="1:7" ht="12.75">
      <c r="A211" s="65" t="s">
        <v>292</v>
      </c>
      <c r="B211" s="68"/>
      <c r="D211" s="67" t="s">
        <v>204</v>
      </c>
      <c r="E211" s="68"/>
      <c r="F211" s="88">
        <v>0.00021156186597865882</v>
      </c>
      <c r="G211" s="68">
        <f aca="true" t="shared" si="7" ref="G211:G229">ROUND(F211*$E$209,0)</f>
        <v>164</v>
      </c>
    </row>
    <row r="212" spans="1:7" ht="12.75">
      <c r="A212" s="65" t="s">
        <v>293</v>
      </c>
      <c r="B212" s="68"/>
      <c r="D212" s="67" t="s">
        <v>158</v>
      </c>
      <c r="E212" s="68"/>
      <c r="F212" s="88">
        <v>0.000246997228164446</v>
      </c>
      <c r="G212" s="68">
        <f t="shared" si="7"/>
        <v>192</v>
      </c>
    </row>
    <row r="213" spans="1:7" ht="12.75">
      <c r="A213" s="65" t="s">
        <v>294</v>
      </c>
      <c r="B213" s="68"/>
      <c r="D213" s="67" t="s">
        <v>158</v>
      </c>
      <c r="E213" s="68"/>
      <c r="F213" s="88">
        <v>0.000246997228164446</v>
      </c>
      <c r="G213" s="68">
        <f t="shared" si="7"/>
        <v>192</v>
      </c>
    </row>
    <row r="214" spans="1:7" ht="12.75">
      <c r="A214" s="65" t="s">
        <v>295</v>
      </c>
      <c r="B214" s="68"/>
      <c r="D214" s="67" t="s">
        <v>158</v>
      </c>
      <c r="E214" s="68"/>
      <c r="F214" s="88">
        <v>0.0006040016251752418</v>
      </c>
      <c r="G214" s="68">
        <f t="shared" si="7"/>
        <v>469</v>
      </c>
    </row>
    <row r="215" spans="1:7" ht="12.75">
      <c r="A215" s="65" t="s">
        <v>296</v>
      </c>
      <c r="B215" s="68"/>
      <c r="D215" s="67" t="s">
        <v>158</v>
      </c>
      <c r="E215" s="68"/>
      <c r="F215" s="88">
        <v>0.0024990057717628076</v>
      </c>
      <c r="G215" s="68">
        <f t="shared" si="7"/>
        <v>1941</v>
      </c>
    </row>
    <row r="216" spans="1:7" ht="12.75">
      <c r="A216" s="65" t="s">
        <v>297</v>
      </c>
      <c r="B216" s="68"/>
      <c r="D216" s="67" t="s">
        <v>158</v>
      </c>
      <c r="E216" s="68"/>
      <c r="F216" s="88">
        <v>0.0019489949348438216</v>
      </c>
      <c r="G216" s="68">
        <f t="shared" si="7"/>
        <v>1513</v>
      </c>
    </row>
    <row r="217" spans="1:7" ht="12.75">
      <c r="A217" s="65" t="s">
        <v>298</v>
      </c>
      <c r="B217" s="68"/>
      <c r="D217" s="67" t="s">
        <v>158</v>
      </c>
      <c r="E217" s="68"/>
      <c r="F217" s="88">
        <v>0.000892010846271721</v>
      </c>
      <c r="G217" s="68">
        <f t="shared" si="7"/>
        <v>693</v>
      </c>
    </row>
    <row r="218" spans="1:7" ht="12.75">
      <c r="A218" s="65" t="s">
        <v>299</v>
      </c>
      <c r="B218" s="68"/>
      <c r="D218" s="67" t="s">
        <v>158</v>
      </c>
      <c r="E218" s="68"/>
      <c r="F218" s="88">
        <v>0.0006860006037265448</v>
      </c>
      <c r="G218" s="68">
        <f t="shared" si="7"/>
        <v>533</v>
      </c>
    </row>
    <row r="219" spans="1:7" ht="12.75">
      <c r="A219" s="65" t="s">
        <v>300</v>
      </c>
      <c r="B219" s="68"/>
      <c r="D219" s="67" t="s">
        <v>158</v>
      </c>
      <c r="E219" s="68"/>
      <c r="F219" s="88">
        <v>0.0004119954777775891</v>
      </c>
      <c r="G219" s="68">
        <f t="shared" si="7"/>
        <v>320</v>
      </c>
    </row>
    <row r="220" spans="1:7" ht="12.75">
      <c r="A220" s="65" t="s">
        <v>301</v>
      </c>
      <c r="B220" s="68"/>
      <c r="D220" s="67" t="s">
        <v>158</v>
      </c>
      <c r="E220" s="68"/>
      <c r="F220" s="88">
        <v>0.0027869899855465234</v>
      </c>
      <c r="G220" s="68">
        <f t="shared" si="7"/>
        <v>2164</v>
      </c>
    </row>
    <row r="221" spans="1:7" ht="12.75">
      <c r="A221" s="65" t="s">
        <v>302</v>
      </c>
      <c r="B221" s="68"/>
      <c r="D221" s="67" t="s">
        <v>158</v>
      </c>
      <c r="E221" s="68"/>
      <c r="F221" s="88">
        <v>0.0007960077725728946</v>
      </c>
      <c r="G221" s="68">
        <f t="shared" si="7"/>
        <v>618</v>
      </c>
    </row>
    <row r="222" spans="1:7" ht="12.75">
      <c r="A222" s="65" t="s">
        <v>303</v>
      </c>
      <c r="B222" s="68"/>
      <c r="D222" s="67" t="s">
        <v>158</v>
      </c>
      <c r="E222" s="68"/>
      <c r="F222" s="88">
        <v>0.0021690092725365215</v>
      </c>
      <c r="G222" s="68">
        <f t="shared" si="7"/>
        <v>1684</v>
      </c>
    </row>
    <row r="223" spans="1:7" ht="12.75">
      <c r="A223" s="65" t="s">
        <v>304</v>
      </c>
      <c r="B223" s="68"/>
      <c r="D223" s="67" t="s">
        <v>158</v>
      </c>
      <c r="E223" s="68"/>
      <c r="F223" s="88">
        <v>0.0008229906630446408</v>
      </c>
      <c r="G223" s="68">
        <f t="shared" si="7"/>
        <v>639</v>
      </c>
    </row>
    <row r="224" spans="1:7" ht="12.75">
      <c r="A224" s="65" t="s">
        <v>305</v>
      </c>
      <c r="B224" s="68"/>
      <c r="D224" s="67" t="s">
        <v>158</v>
      </c>
      <c r="E224" s="68"/>
      <c r="F224" s="88">
        <v>0.0013170101266862962</v>
      </c>
      <c r="G224" s="68">
        <f t="shared" si="7"/>
        <v>1023</v>
      </c>
    </row>
    <row r="225" spans="1:7" ht="12.75">
      <c r="A225" s="65" t="s">
        <v>306</v>
      </c>
      <c r="B225" s="68"/>
      <c r="D225" s="67" t="s">
        <v>158</v>
      </c>
      <c r="E225" s="68"/>
      <c r="F225" s="88">
        <v>0.0027819885229938366</v>
      </c>
      <c r="G225" s="68">
        <f t="shared" si="7"/>
        <v>2160</v>
      </c>
    </row>
    <row r="226" spans="1:7" ht="12.75">
      <c r="A226" s="65" t="s">
        <v>307</v>
      </c>
      <c r="B226" s="68"/>
      <c r="D226" s="67" t="s">
        <v>158</v>
      </c>
      <c r="E226" s="68"/>
      <c r="F226" s="88">
        <v>0.0017440099921219462</v>
      </c>
      <c r="G226" s="68">
        <f t="shared" si="7"/>
        <v>1354</v>
      </c>
    </row>
    <row r="227" spans="1:7" ht="12.75">
      <c r="A227" s="65" t="s">
        <v>308</v>
      </c>
      <c r="B227" s="68"/>
      <c r="D227" s="67" t="s">
        <v>158</v>
      </c>
      <c r="E227" s="68"/>
      <c r="F227" s="88">
        <v>0.001057009095884864</v>
      </c>
      <c r="G227" s="68">
        <f t="shared" si="7"/>
        <v>821</v>
      </c>
    </row>
    <row r="228" spans="1:7" ht="12.75">
      <c r="A228" s="65" t="s">
        <v>309</v>
      </c>
      <c r="B228" s="68"/>
      <c r="D228" s="67" t="s">
        <v>158</v>
      </c>
      <c r="E228" s="68"/>
      <c r="F228" s="88">
        <v>0.001866995956292519</v>
      </c>
      <c r="G228" s="68">
        <f t="shared" si="7"/>
        <v>1450</v>
      </c>
    </row>
    <row r="229" spans="1:7" ht="12.75">
      <c r="A229" s="65" t="s">
        <v>310</v>
      </c>
      <c r="B229" s="68"/>
      <c r="D229" s="67" t="s">
        <v>158</v>
      </c>
      <c r="E229" s="68"/>
      <c r="F229" s="88">
        <v>0.008978000391764562</v>
      </c>
      <c r="G229" s="68">
        <f t="shared" si="7"/>
        <v>6972</v>
      </c>
    </row>
    <row r="230" spans="1:7" ht="12.75">
      <c r="A230" s="65"/>
      <c r="B230" s="68"/>
      <c r="D230" s="67"/>
      <c r="E230" s="68"/>
      <c r="F230" s="88"/>
      <c r="G230" s="68"/>
    </row>
    <row r="231" spans="1:9" ht="12.75">
      <c r="A231" s="65" t="s">
        <v>50</v>
      </c>
      <c r="B231" s="68"/>
      <c r="D231" s="67"/>
      <c r="E231" s="68">
        <f>'State Allocations'!B58</f>
        <v>301663</v>
      </c>
      <c r="F231" s="88"/>
      <c r="G231" s="68"/>
      <c r="H231" s="74">
        <f>G232</f>
        <v>10855</v>
      </c>
      <c r="I231" s="68">
        <f>E231-H231</f>
        <v>290808</v>
      </c>
    </row>
    <row r="232" spans="1:7" ht="12.75">
      <c r="A232" s="65" t="s">
        <v>311</v>
      </c>
      <c r="B232" s="68"/>
      <c r="D232" s="67" t="s">
        <v>204</v>
      </c>
      <c r="E232" s="68"/>
      <c r="F232" s="88">
        <v>0.035982896815102396</v>
      </c>
      <c r="G232" s="68">
        <f>ROUND(F232*E231,0)</f>
        <v>10855</v>
      </c>
    </row>
    <row r="233" spans="1:7" ht="12.75">
      <c r="A233" s="65"/>
      <c r="B233" s="68"/>
      <c r="D233" s="67"/>
      <c r="E233" s="68"/>
      <c r="F233" s="70"/>
      <c r="G233" s="68"/>
    </row>
    <row r="234" spans="1:9" ht="12.75">
      <c r="A234" s="65" t="s">
        <v>312</v>
      </c>
      <c r="E234" s="68">
        <f>SUM(E12:E233)</f>
        <v>53829224</v>
      </c>
      <c r="G234" s="68">
        <f>SUM(G12:G233)</f>
        <v>954158</v>
      </c>
      <c r="H234" s="68">
        <f>SUM(H12:H233)</f>
        <v>954158</v>
      </c>
      <c r="I234" s="68">
        <f>SUM(I12:I233)</f>
        <v>52875066</v>
      </c>
    </row>
    <row r="486" ht="12.75">
      <c r="H486" s="80"/>
    </row>
    <row r="488" ht="12.75">
      <c r="E488" s="80"/>
    </row>
    <row r="491" ht="12.75">
      <c r="E491" s="80"/>
    </row>
    <row r="492" ht="12.75">
      <c r="E492" s="80"/>
    </row>
    <row r="493" ht="12.75">
      <c r="E493" s="80"/>
    </row>
    <row r="494" ht="12.75">
      <c r="E494" s="80"/>
    </row>
    <row r="495" ht="12.75">
      <c r="E495" s="80"/>
    </row>
    <row r="496" ht="12.75">
      <c r="E496" s="80"/>
    </row>
    <row r="497" ht="12.75">
      <c r="E497" s="80"/>
    </row>
    <row r="498" ht="12.75">
      <c r="E498" s="80"/>
    </row>
    <row r="499" ht="12.75">
      <c r="E499" s="80"/>
    </row>
    <row r="500" ht="12.75">
      <c r="E500" s="80"/>
    </row>
    <row r="501" ht="12.75">
      <c r="E501" s="80"/>
    </row>
    <row r="502" ht="12.75">
      <c r="E502" s="80"/>
    </row>
    <row r="503" ht="12.75">
      <c r="E503" s="80"/>
    </row>
    <row r="504" ht="12.75">
      <c r="E504" s="80"/>
    </row>
    <row r="505" ht="12.75">
      <c r="E505" s="80"/>
    </row>
    <row r="506" ht="12.75">
      <c r="E506" s="80"/>
    </row>
    <row r="507" ht="12.75">
      <c r="E507" s="80"/>
    </row>
    <row r="508" ht="12.75">
      <c r="E508" s="80"/>
    </row>
    <row r="509" ht="12.75">
      <c r="E509" s="80"/>
    </row>
    <row r="510" ht="12.75">
      <c r="E510" s="80"/>
    </row>
    <row r="511" ht="12.75">
      <c r="E511" s="80"/>
    </row>
    <row r="512" ht="12.75">
      <c r="E512" s="80"/>
    </row>
    <row r="513" ht="12.75">
      <c r="E513" s="80"/>
    </row>
    <row r="514" ht="12.75">
      <c r="E514" s="80"/>
    </row>
    <row r="515" ht="12.75">
      <c r="E515" s="80"/>
    </row>
    <row r="516" ht="12.75">
      <c r="E516" s="80"/>
    </row>
    <row r="517" ht="12.75">
      <c r="E517" s="80"/>
    </row>
    <row r="518" ht="12.75">
      <c r="E518" s="80"/>
    </row>
    <row r="519" ht="12.75">
      <c r="E519" s="80"/>
    </row>
    <row r="520" ht="12.75">
      <c r="E520" s="80"/>
    </row>
    <row r="521" ht="12.75">
      <c r="E521" s="80"/>
    </row>
    <row r="522" ht="12.75">
      <c r="E522" s="80"/>
    </row>
    <row r="523" ht="12.75">
      <c r="E523" s="80"/>
    </row>
    <row r="524" ht="12.75">
      <c r="E524" s="80"/>
    </row>
    <row r="525" ht="12.75">
      <c r="E525" s="80"/>
    </row>
    <row r="526" ht="12.75">
      <c r="E526" s="80"/>
    </row>
    <row r="527" ht="12.75">
      <c r="E527" s="80"/>
    </row>
    <row r="528" ht="12.75">
      <c r="E528" s="80"/>
    </row>
    <row r="529" ht="12.75">
      <c r="E529" s="80"/>
    </row>
    <row r="530" ht="12.75">
      <c r="E530" s="80"/>
    </row>
    <row r="531" ht="12.75">
      <c r="E531" s="80"/>
    </row>
    <row r="532" ht="12.75">
      <c r="E532" s="80"/>
    </row>
    <row r="533" ht="12.75">
      <c r="E533" s="80"/>
    </row>
    <row r="534" ht="12.75">
      <c r="E534" s="80"/>
    </row>
    <row r="535" ht="12.75">
      <c r="E535" s="80"/>
    </row>
    <row r="536" ht="12.75">
      <c r="E536" s="80"/>
    </row>
    <row r="537" ht="12.75">
      <c r="E537" s="80"/>
    </row>
    <row r="538" ht="12.75">
      <c r="E538" s="80"/>
    </row>
    <row r="539" ht="12.75">
      <c r="E539" s="80"/>
    </row>
    <row r="540" ht="12.75">
      <c r="E540" s="80"/>
    </row>
    <row r="541" ht="12.75">
      <c r="E541" s="80"/>
    </row>
    <row r="542" ht="12.75">
      <c r="E542" s="80"/>
    </row>
    <row r="543" spans="5:8" ht="12.75">
      <c r="E543" s="80"/>
      <c r="G543" s="68"/>
      <c r="H543" s="68"/>
    </row>
    <row r="545" spans="5:8" ht="12.75">
      <c r="E545" s="68"/>
      <c r="H545" s="68"/>
    </row>
    <row r="547" ht="12.75">
      <c r="H547" s="68"/>
    </row>
    <row r="548" spans="5:8" ht="12.75">
      <c r="E548" s="68"/>
      <c r="H548" s="68"/>
    </row>
    <row r="549" spans="5:8" ht="12.75">
      <c r="E549" s="68"/>
      <c r="H549" s="68"/>
    </row>
    <row r="550" spans="5:8" ht="12.75">
      <c r="E550" s="68"/>
      <c r="H550" s="68"/>
    </row>
    <row r="551" spans="5:8" ht="12.75">
      <c r="E551" s="68"/>
      <c r="H551" s="68"/>
    </row>
    <row r="552" spans="5:8" ht="12.75">
      <c r="E552" s="68"/>
      <c r="H552" s="68"/>
    </row>
    <row r="553" spans="5:8" ht="12.75">
      <c r="E553" s="68"/>
      <c r="H553" s="68"/>
    </row>
    <row r="554" spans="5:8" ht="12.75">
      <c r="E554" s="68"/>
      <c r="H554" s="68"/>
    </row>
  </sheetData>
  <sheetProtection/>
  <mergeCells count="2">
    <mergeCell ref="A1:I1"/>
    <mergeCell ref="A2:I2"/>
  </mergeCells>
  <printOptions horizontalCentered="1"/>
  <pageMargins left="0.25" right="0.25" top="0.25" bottom="0.25" header="0" footer="0"/>
  <pageSetup fitToHeight="5" horizontalDpi="600" verticalDpi="600" orientation="landscape" scale="79" r:id="rId1"/>
  <rowBreaks count="4" manualBreakCount="4">
    <brk id="40" max="8" man="1"/>
    <brk id="93" max="8" man="1"/>
    <brk id="144" max="8" man="1"/>
    <brk id="19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75"/>
  <sheetViews>
    <sheetView workbookViewId="0" topLeftCell="A1">
      <selection activeCell="A2" sqref="A2:A3"/>
    </sheetView>
  </sheetViews>
  <sheetFormatPr defaultColWidth="9.33203125" defaultRowHeight="12.75"/>
  <cols>
    <col min="1" max="1" width="28.66015625" style="23" bestFit="1" customWidth="1"/>
    <col min="2" max="2" width="12.5" style="23" customWidth="1"/>
    <col min="3" max="3" width="11.83203125" style="23" bestFit="1" customWidth="1"/>
    <col min="4" max="4" width="20" style="23" bestFit="1" customWidth="1"/>
    <col min="5" max="5" width="10.66015625" style="23" bestFit="1" customWidth="1"/>
    <col min="6" max="6" width="19.5" style="23" bestFit="1" customWidth="1"/>
    <col min="7" max="7" width="11.33203125" style="23" bestFit="1" customWidth="1"/>
    <col min="8" max="8" width="8.83203125" style="23" bestFit="1" customWidth="1"/>
    <col min="9" max="9" width="11.66015625" style="23" bestFit="1" customWidth="1"/>
    <col min="10" max="10" width="9.33203125" style="23" bestFit="1" customWidth="1"/>
    <col min="11" max="11" width="11.5" style="23" bestFit="1" customWidth="1"/>
    <col min="12" max="16384" width="10.66015625" style="23" customWidth="1"/>
  </cols>
  <sheetData>
    <row r="1" spans="1:11" s="17" customFormat="1" ht="31.5" customHeight="1" thickBot="1">
      <c r="A1" s="117" t="s">
        <v>87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s="18" customFormat="1" ht="13.5" thickBot="1">
      <c r="A2" s="121" t="s">
        <v>56</v>
      </c>
      <c r="B2" s="119" t="s">
        <v>57</v>
      </c>
      <c r="C2" s="123" t="s">
        <v>58</v>
      </c>
      <c r="D2" s="124"/>
      <c r="E2" s="124"/>
      <c r="F2" s="124"/>
      <c r="G2" s="124"/>
      <c r="H2" s="124"/>
      <c r="I2" s="124"/>
      <c r="J2" s="124"/>
      <c r="K2" s="125"/>
    </row>
    <row r="3" spans="1:11" s="18" customFormat="1" ht="12" thickBot="1">
      <c r="A3" s="122"/>
      <c r="B3" s="120"/>
      <c r="C3" s="19" t="s">
        <v>59</v>
      </c>
      <c r="D3" s="19" t="s">
        <v>60</v>
      </c>
      <c r="E3" s="19" t="s">
        <v>61</v>
      </c>
      <c r="F3" s="19" t="s">
        <v>62</v>
      </c>
      <c r="G3" s="19" t="s">
        <v>63</v>
      </c>
      <c r="H3" s="19" t="s">
        <v>64</v>
      </c>
      <c r="I3" s="19" t="s">
        <v>65</v>
      </c>
      <c r="J3" s="19" t="s">
        <v>66</v>
      </c>
      <c r="K3" s="19" t="s">
        <v>67</v>
      </c>
    </row>
    <row r="4" spans="1:11" s="18" customFormat="1" ht="12.75">
      <c r="A4" s="20"/>
      <c r="B4" s="21"/>
      <c r="C4" s="22"/>
      <c r="D4" s="22"/>
      <c r="E4" s="22"/>
      <c r="F4" s="22"/>
      <c r="G4" s="22"/>
      <c r="H4" s="22"/>
      <c r="I4" s="22"/>
      <c r="J4" s="22"/>
      <c r="K4" s="22"/>
    </row>
    <row r="5" spans="1:11" ht="12.75">
      <c r="A5" s="23" t="s">
        <v>68</v>
      </c>
      <c r="B5" s="24">
        <v>28048665</v>
      </c>
      <c r="C5" s="24">
        <v>13246035</v>
      </c>
      <c r="D5" s="24">
        <v>2099670</v>
      </c>
      <c r="E5" s="24">
        <v>9135825</v>
      </c>
      <c r="F5" s="24">
        <v>2477075</v>
      </c>
      <c r="G5" s="24">
        <v>52030</v>
      </c>
      <c r="H5" s="24">
        <v>550830</v>
      </c>
      <c r="I5" s="24">
        <v>16440</v>
      </c>
      <c r="J5" s="24">
        <v>163315</v>
      </c>
      <c r="K5" s="24">
        <v>307445</v>
      </c>
    </row>
    <row r="6" spans="1:11" ht="12.75">
      <c r="A6" s="23" t="s">
        <v>69</v>
      </c>
      <c r="B6" s="24">
        <v>5648225</v>
      </c>
      <c r="C6" s="24">
        <v>2767115</v>
      </c>
      <c r="D6" s="24">
        <v>209295</v>
      </c>
      <c r="E6" s="24">
        <v>816470</v>
      </c>
      <c r="F6" s="24">
        <v>1671345</v>
      </c>
      <c r="G6" s="24">
        <v>22640</v>
      </c>
      <c r="H6" s="24">
        <v>65305</v>
      </c>
      <c r="I6" s="24">
        <v>1925</v>
      </c>
      <c r="J6" s="24">
        <v>52430</v>
      </c>
      <c r="K6" s="24">
        <v>41700</v>
      </c>
    </row>
    <row r="7" spans="1:11" ht="12.75">
      <c r="A7" s="23" t="s">
        <v>70</v>
      </c>
      <c r="B7" s="24">
        <v>6321115</v>
      </c>
      <c r="C7" s="24">
        <v>4097960</v>
      </c>
      <c r="D7" s="24">
        <v>581885</v>
      </c>
      <c r="E7" s="24">
        <v>1216645</v>
      </c>
      <c r="F7" s="24">
        <v>218660</v>
      </c>
      <c r="G7" s="24">
        <v>4390</v>
      </c>
      <c r="H7" s="24">
        <v>108525</v>
      </c>
      <c r="I7" s="24">
        <v>1420</v>
      </c>
      <c r="J7" s="24">
        <v>56080</v>
      </c>
      <c r="K7" s="24">
        <v>35555</v>
      </c>
    </row>
    <row r="8" spans="1:11" ht="12.75">
      <c r="A8" s="23" t="s">
        <v>71</v>
      </c>
      <c r="B8" s="24">
        <v>10357525</v>
      </c>
      <c r="C8" s="24">
        <v>3343400</v>
      </c>
      <c r="D8" s="24">
        <v>1023215</v>
      </c>
      <c r="E8" s="24">
        <v>5160800</v>
      </c>
      <c r="F8" s="24">
        <v>498305</v>
      </c>
      <c r="G8" s="24">
        <v>20240</v>
      </c>
      <c r="H8" s="24">
        <v>196155</v>
      </c>
      <c r="I8" s="24">
        <v>3640</v>
      </c>
      <c r="J8" s="24">
        <v>26980</v>
      </c>
      <c r="K8" s="24">
        <v>84790</v>
      </c>
    </row>
    <row r="9" spans="1:11" ht="12.75">
      <c r="A9" s="23" t="s">
        <v>72</v>
      </c>
      <c r="B9" s="24">
        <v>5721800</v>
      </c>
      <c r="C9" s="24">
        <v>3037565</v>
      </c>
      <c r="D9" s="24">
        <v>285280</v>
      </c>
      <c r="E9" s="24">
        <v>1941905</v>
      </c>
      <c r="F9" s="24">
        <v>88770</v>
      </c>
      <c r="G9" s="24">
        <v>4760</v>
      </c>
      <c r="H9" s="24">
        <v>180845</v>
      </c>
      <c r="I9" s="24">
        <v>9450</v>
      </c>
      <c r="J9" s="24">
        <v>27825</v>
      </c>
      <c r="K9" s="24">
        <v>145395</v>
      </c>
    </row>
    <row r="10" spans="1:11" ht="12.75">
      <c r="A10" s="23" t="s">
        <v>73</v>
      </c>
      <c r="B10" s="24">
        <v>1453365</v>
      </c>
      <c r="C10" s="24">
        <v>519240</v>
      </c>
      <c r="D10" s="24">
        <v>61555</v>
      </c>
      <c r="E10" s="24">
        <v>239630</v>
      </c>
      <c r="F10" s="24">
        <v>592060</v>
      </c>
      <c r="G10" s="24">
        <v>1185</v>
      </c>
      <c r="H10" s="24">
        <v>23500</v>
      </c>
      <c r="I10" s="24">
        <v>290</v>
      </c>
      <c r="J10" s="24">
        <v>8605</v>
      </c>
      <c r="K10" s="24">
        <v>7295</v>
      </c>
    </row>
    <row r="11" spans="1:11" ht="12.75">
      <c r="A11" s="23" t="s">
        <v>74</v>
      </c>
      <c r="B11" s="24">
        <v>4194865</v>
      </c>
      <c r="C11" s="24">
        <v>2247875</v>
      </c>
      <c r="D11" s="24">
        <v>147740</v>
      </c>
      <c r="E11" s="24">
        <v>576845</v>
      </c>
      <c r="F11" s="24">
        <v>1079285</v>
      </c>
      <c r="G11" s="24">
        <v>21455</v>
      </c>
      <c r="H11" s="24">
        <v>41805</v>
      </c>
      <c r="I11" s="24">
        <v>1635</v>
      </c>
      <c r="J11" s="24">
        <v>43825</v>
      </c>
      <c r="K11" s="24">
        <v>34405</v>
      </c>
    </row>
    <row r="12" spans="1:11" ht="12.75">
      <c r="A12" s="23" t="s">
        <v>75</v>
      </c>
      <c r="B12" s="24">
        <v>4413970</v>
      </c>
      <c r="C12" s="24">
        <v>3032075</v>
      </c>
      <c r="D12" s="24">
        <v>318065</v>
      </c>
      <c r="E12" s="24">
        <v>783975</v>
      </c>
      <c r="F12" s="24">
        <v>152675</v>
      </c>
      <c r="G12" s="24">
        <v>3315</v>
      </c>
      <c r="H12" s="24">
        <v>58900</v>
      </c>
      <c r="I12" s="24">
        <v>1000</v>
      </c>
      <c r="J12" s="24">
        <v>38030</v>
      </c>
      <c r="K12" s="24">
        <v>25925</v>
      </c>
    </row>
    <row r="13" spans="1:11" ht="12.75">
      <c r="A13" s="23" t="s">
        <v>76</v>
      </c>
      <c r="B13" s="24">
        <v>1907145</v>
      </c>
      <c r="C13" s="24">
        <v>1065885</v>
      </c>
      <c r="D13" s="24">
        <v>263820</v>
      </c>
      <c r="E13" s="24">
        <v>432670</v>
      </c>
      <c r="F13" s="24">
        <v>65980</v>
      </c>
      <c r="G13" s="24">
        <v>1075</v>
      </c>
      <c r="H13" s="24">
        <v>49620</v>
      </c>
      <c r="I13" s="24">
        <v>420</v>
      </c>
      <c r="J13" s="24">
        <v>18050</v>
      </c>
      <c r="K13" s="24">
        <v>9630</v>
      </c>
    </row>
    <row r="14" spans="1:11" ht="12.75">
      <c r="A14" s="23" t="s">
        <v>77</v>
      </c>
      <c r="B14" s="24">
        <v>5216235</v>
      </c>
      <c r="C14" s="24">
        <v>1257555</v>
      </c>
      <c r="D14" s="24">
        <v>452135</v>
      </c>
      <c r="E14" s="24">
        <v>2874715</v>
      </c>
      <c r="F14" s="24">
        <v>450150</v>
      </c>
      <c r="G14" s="24">
        <v>9465</v>
      </c>
      <c r="H14" s="24">
        <v>98490</v>
      </c>
      <c r="I14" s="24">
        <v>2080</v>
      </c>
      <c r="J14" s="24">
        <v>15135</v>
      </c>
      <c r="K14" s="24">
        <v>56520</v>
      </c>
    </row>
    <row r="15" spans="1:11" ht="12.75">
      <c r="A15" s="23" t="s">
        <v>78</v>
      </c>
      <c r="B15" s="24">
        <v>1973600</v>
      </c>
      <c r="C15" s="24">
        <v>675390</v>
      </c>
      <c r="D15" s="24">
        <v>273790</v>
      </c>
      <c r="E15" s="24">
        <v>898905</v>
      </c>
      <c r="F15" s="24">
        <v>43880</v>
      </c>
      <c r="G15" s="24">
        <v>10525</v>
      </c>
      <c r="H15" s="24">
        <v>59120</v>
      </c>
      <c r="I15" s="24">
        <v>355</v>
      </c>
      <c r="J15" s="24">
        <v>4370</v>
      </c>
      <c r="K15" s="24">
        <v>7265</v>
      </c>
    </row>
    <row r="16" spans="1:11" ht="12.75">
      <c r="A16" s="23" t="s">
        <v>79</v>
      </c>
      <c r="B16" s="24">
        <v>3167690</v>
      </c>
      <c r="C16" s="24">
        <v>1410455</v>
      </c>
      <c r="D16" s="24">
        <v>297290</v>
      </c>
      <c r="E16" s="24">
        <v>1387185</v>
      </c>
      <c r="F16" s="24">
        <v>4275</v>
      </c>
      <c r="G16" s="24">
        <v>250</v>
      </c>
      <c r="H16" s="24">
        <v>38545</v>
      </c>
      <c r="I16" s="24">
        <v>1210</v>
      </c>
      <c r="J16" s="24">
        <v>7475</v>
      </c>
      <c r="K16" s="24">
        <v>21005</v>
      </c>
    </row>
    <row r="17" spans="1:11" ht="12.75">
      <c r="A17" s="23" t="s">
        <v>80</v>
      </c>
      <c r="B17" s="24">
        <v>1585795</v>
      </c>
      <c r="C17" s="24">
        <v>839475</v>
      </c>
      <c r="D17" s="24">
        <v>130065</v>
      </c>
      <c r="E17" s="24">
        <v>511100</v>
      </c>
      <c r="F17" s="24">
        <v>14930</v>
      </c>
      <c r="G17" s="24">
        <v>3845</v>
      </c>
      <c r="H17" s="24">
        <v>65790</v>
      </c>
      <c r="I17" s="24">
        <v>1305</v>
      </c>
      <c r="J17" s="24">
        <v>10030</v>
      </c>
      <c r="K17" s="24">
        <v>9255</v>
      </c>
    </row>
    <row r="18" spans="1:11" ht="12.75">
      <c r="A18" s="23" t="s">
        <v>81</v>
      </c>
      <c r="B18" s="24">
        <v>4136005</v>
      </c>
      <c r="C18" s="24">
        <v>2198090</v>
      </c>
      <c r="D18" s="24">
        <v>155210</v>
      </c>
      <c r="E18" s="24">
        <v>1430805</v>
      </c>
      <c r="F18" s="24">
        <v>73835</v>
      </c>
      <c r="G18" s="24">
        <v>915</v>
      </c>
      <c r="H18" s="24">
        <v>115060</v>
      </c>
      <c r="I18" s="24">
        <v>8150</v>
      </c>
      <c r="J18" s="24">
        <v>17795</v>
      </c>
      <c r="K18" s="24">
        <v>136140</v>
      </c>
    </row>
    <row r="19" spans="2:11" ht="12.75"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 ht="12.75">
      <c r="A20" s="23" t="s">
        <v>12</v>
      </c>
      <c r="B20" s="24">
        <v>551965</v>
      </c>
      <c r="C20" s="24">
        <v>202990</v>
      </c>
      <c r="D20" s="24">
        <v>97295</v>
      </c>
      <c r="E20" s="24">
        <v>236090</v>
      </c>
      <c r="F20" s="24">
        <v>3940</v>
      </c>
      <c r="G20" s="24">
        <v>260</v>
      </c>
      <c r="H20" s="24">
        <v>8620</v>
      </c>
      <c r="I20" s="24">
        <v>65</v>
      </c>
      <c r="J20" s="24">
        <v>815</v>
      </c>
      <c r="K20" s="24">
        <v>1895</v>
      </c>
    </row>
    <row r="21" spans="1:11" ht="12.75">
      <c r="A21" s="23" t="s">
        <v>1</v>
      </c>
      <c r="B21" s="24">
        <v>49270</v>
      </c>
      <c r="C21" s="24">
        <v>16565</v>
      </c>
      <c r="D21" s="24">
        <v>1315</v>
      </c>
      <c r="E21" s="24">
        <v>7580</v>
      </c>
      <c r="F21" s="24">
        <v>18570</v>
      </c>
      <c r="G21" s="24">
        <v>365</v>
      </c>
      <c r="H21" s="24">
        <v>3465</v>
      </c>
      <c r="I21" s="24">
        <v>25</v>
      </c>
      <c r="J21" s="24">
        <v>915</v>
      </c>
      <c r="K21" s="24">
        <v>465</v>
      </c>
    </row>
    <row r="22" spans="1:11" ht="12.75">
      <c r="A22" s="23" t="s">
        <v>13</v>
      </c>
      <c r="B22" s="24">
        <v>439345</v>
      </c>
      <c r="C22" s="24">
        <v>162545</v>
      </c>
      <c r="D22" s="24">
        <v>31550</v>
      </c>
      <c r="E22" s="24">
        <v>218400</v>
      </c>
      <c r="F22" s="24">
        <v>605</v>
      </c>
      <c r="G22" s="24">
        <v>660</v>
      </c>
      <c r="H22" s="24">
        <v>19550</v>
      </c>
      <c r="I22" s="24">
        <v>370</v>
      </c>
      <c r="J22" s="24">
        <v>795</v>
      </c>
      <c r="K22" s="24">
        <v>4870</v>
      </c>
    </row>
    <row r="23" spans="1:11" ht="12.75">
      <c r="A23" s="23" t="s">
        <v>14</v>
      </c>
      <c r="B23" s="24">
        <v>275395</v>
      </c>
      <c r="C23" s="24">
        <v>126790</v>
      </c>
      <c r="D23" s="24">
        <v>44565</v>
      </c>
      <c r="E23" s="24">
        <v>87490</v>
      </c>
      <c r="F23" s="24">
        <v>430</v>
      </c>
      <c r="G23" s="24">
        <v>20</v>
      </c>
      <c r="H23" s="24">
        <v>14520</v>
      </c>
      <c r="I23" s="24">
        <v>120</v>
      </c>
      <c r="J23" s="24">
        <v>710</v>
      </c>
      <c r="K23" s="24">
        <v>760</v>
      </c>
    </row>
    <row r="24" spans="1:11" ht="12.75">
      <c r="A24" s="23" t="s">
        <v>15</v>
      </c>
      <c r="B24" s="24">
        <v>3084760</v>
      </c>
      <c r="C24" s="24">
        <v>1988975</v>
      </c>
      <c r="D24" s="24">
        <v>127755</v>
      </c>
      <c r="E24" s="24">
        <v>793615</v>
      </c>
      <c r="F24" s="24">
        <v>10940</v>
      </c>
      <c r="G24" s="24">
        <v>315</v>
      </c>
      <c r="H24" s="24">
        <v>55120</v>
      </c>
      <c r="I24" s="24">
        <v>6810</v>
      </c>
      <c r="J24" s="24">
        <v>9755</v>
      </c>
      <c r="K24" s="24">
        <v>91475</v>
      </c>
    </row>
    <row r="25" spans="1:11" ht="12.75">
      <c r="A25" s="23" t="s">
        <v>16</v>
      </c>
      <c r="B25" s="24">
        <v>392125</v>
      </c>
      <c r="C25" s="24">
        <v>264430</v>
      </c>
      <c r="D25" s="24">
        <v>27465</v>
      </c>
      <c r="E25" s="24">
        <v>84850</v>
      </c>
      <c r="F25" s="24">
        <v>715</v>
      </c>
      <c r="G25" s="24">
        <v>725</v>
      </c>
      <c r="H25" s="24">
        <v>7105</v>
      </c>
      <c r="I25" s="24">
        <v>350</v>
      </c>
      <c r="J25" s="24">
        <v>4590</v>
      </c>
      <c r="K25" s="24">
        <v>1900</v>
      </c>
    </row>
    <row r="26" spans="1:11" ht="12.75">
      <c r="A26" s="23" t="s">
        <v>2</v>
      </c>
      <c r="B26" s="24">
        <v>364175</v>
      </c>
      <c r="C26" s="24">
        <v>122775</v>
      </c>
      <c r="D26" s="24">
        <v>11270</v>
      </c>
      <c r="E26" s="24">
        <v>71840</v>
      </c>
      <c r="F26" s="24">
        <v>152410</v>
      </c>
      <c r="G26" s="24">
        <v>260</v>
      </c>
      <c r="H26" s="24">
        <v>2245</v>
      </c>
      <c r="I26" s="24">
        <v>75</v>
      </c>
      <c r="J26" s="24">
        <v>1890</v>
      </c>
      <c r="K26" s="24">
        <v>1410</v>
      </c>
    </row>
    <row r="27" spans="1:11" ht="12.75">
      <c r="A27" s="23" t="s">
        <v>3</v>
      </c>
      <c r="B27" s="24">
        <v>78935</v>
      </c>
      <c r="C27" s="24">
        <v>24465</v>
      </c>
      <c r="D27" s="24">
        <v>8525</v>
      </c>
      <c r="E27" s="24">
        <v>22490</v>
      </c>
      <c r="F27" s="24">
        <v>22190</v>
      </c>
      <c r="G27" s="24">
        <v>105</v>
      </c>
      <c r="H27" s="24">
        <v>600</v>
      </c>
      <c r="I27" s="24">
        <v>30</v>
      </c>
      <c r="J27" s="24">
        <v>340</v>
      </c>
      <c r="K27" s="24">
        <v>190</v>
      </c>
    </row>
    <row r="28" spans="1:11" ht="12.75">
      <c r="A28" s="23" t="s">
        <v>82</v>
      </c>
      <c r="B28" s="24">
        <v>74520</v>
      </c>
      <c r="C28" s="24">
        <v>45120</v>
      </c>
      <c r="D28" s="24">
        <v>1735</v>
      </c>
      <c r="E28" s="24">
        <v>21100</v>
      </c>
      <c r="F28" s="24">
        <v>4500</v>
      </c>
      <c r="G28" s="24">
        <v>25</v>
      </c>
      <c r="H28" s="24">
        <v>45</v>
      </c>
      <c r="I28" s="24">
        <v>35</v>
      </c>
      <c r="J28" s="24">
        <v>620</v>
      </c>
      <c r="K28" s="24">
        <v>1340</v>
      </c>
    </row>
    <row r="29" spans="1:11" ht="12.75">
      <c r="A29" s="23" t="s">
        <v>17</v>
      </c>
      <c r="B29" s="24">
        <v>1603440</v>
      </c>
      <c r="C29" s="24">
        <v>103615</v>
      </c>
      <c r="D29" s="24">
        <v>89595</v>
      </c>
      <c r="E29" s="24">
        <v>1339160</v>
      </c>
      <c r="F29" s="24">
        <v>22765</v>
      </c>
      <c r="G29" s="24">
        <v>105</v>
      </c>
      <c r="H29" s="24">
        <v>5550</v>
      </c>
      <c r="I29" s="24">
        <v>720</v>
      </c>
      <c r="J29" s="24">
        <v>1870</v>
      </c>
      <c r="K29" s="24">
        <v>40055</v>
      </c>
    </row>
    <row r="30" spans="1:11" ht="12.75">
      <c r="A30" s="23" t="s">
        <v>18</v>
      </c>
      <c r="B30" s="24">
        <v>786340</v>
      </c>
      <c r="C30" s="24">
        <v>320440</v>
      </c>
      <c r="D30" s="24">
        <v>118870</v>
      </c>
      <c r="E30" s="24">
        <v>321860</v>
      </c>
      <c r="F30" s="24">
        <v>8705</v>
      </c>
      <c r="G30" s="24">
        <v>80</v>
      </c>
      <c r="H30" s="24">
        <v>10980</v>
      </c>
      <c r="I30" s="24">
        <v>370</v>
      </c>
      <c r="J30" s="24">
        <v>1100</v>
      </c>
      <c r="K30" s="24">
        <v>3935</v>
      </c>
    </row>
    <row r="31" spans="1:11" ht="12.75">
      <c r="A31" s="23" t="s">
        <v>19</v>
      </c>
      <c r="B31" s="24">
        <v>100410</v>
      </c>
      <c r="C31" s="24">
        <v>4080</v>
      </c>
      <c r="D31" s="24">
        <v>3595</v>
      </c>
      <c r="E31" s="24">
        <v>49850</v>
      </c>
      <c r="F31" s="24">
        <v>165</v>
      </c>
      <c r="G31" s="24">
        <v>10</v>
      </c>
      <c r="H31" s="24">
        <v>480</v>
      </c>
      <c r="I31" s="24">
        <v>1115</v>
      </c>
      <c r="J31" s="24">
        <v>100</v>
      </c>
      <c r="K31" s="24">
        <v>41020</v>
      </c>
    </row>
    <row r="32" spans="1:11" ht="12.75">
      <c r="A32" s="23" t="s">
        <v>20</v>
      </c>
      <c r="B32" s="24">
        <v>112855</v>
      </c>
      <c r="C32" s="24">
        <v>38305</v>
      </c>
      <c r="D32" s="24">
        <v>6795</v>
      </c>
      <c r="E32" s="24">
        <v>49630</v>
      </c>
      <c r="F32" s="24">
        <v>6620</v>
      </c>
      <c r="G32" s="24">
        <v>455</v>
      </c>
      <c r="H32" s="24">
        <v>9795</v>
      </c>
      <c r="I32" s="24">
        <v>25</v>
      </c>
      <c r="J32" s="24">
        <v>820</v>
      </c>
      <c r="K32" s="24">
        <v>415</v>
      </c>
    </row>
    <row r="33" spans="1:11" ht="12.75">
      <c r="A33" s="23" t="s">
        <v>21</v>
      </c>
      <c r="B33" s="24">
        <v>1172320</v>
      </c>
      <c r="C33" s="24">
        <v>879370</v>
      </c>
      <c r="D33" s="24">
        <v>60885</v>
      </c>
      <c r="E33" s="24">
        <v>197910</v>
      </c>
      <c r="F33" s="24">
        <v>8215</v>
      </c>
      <c r="G33" s="24">
        <v>400</v>
      </c>
      <c r="H33" s="24">
        <v>4995</v>
      </c>
      <c r="I33" s="24">
        <v>310</v>
      </c>
      <c r="J33" s="24">
        <v>9755</v>
      </c>
      <c r="K33" s="24">
        <v>10475</v>
      </c>
    </row>
    <row r="34" spans="1:11" ht="12.75">
      <c r="A34" s="23" t="s">
        <v>22</v>
      </c>
      <c r="B34" s="24">
        <v>573840</v>
      </c>
      <c r="C34" s="24">
        <v>354285</v>
      </c>
      <c r="D34" s="24">
        <v>44070</v>
      </c>
      <c r="E34" s="24">
        <v>144180</v>
      </c>
      <c r="F34" s="24">
        <v>16270</v>
      </c>
      <c r="G34" s="24">
        <v>910</v>
      </c>
      <c r="H34" s="24">
        <v>8725</v>
      </c>
      <c r="I34" s="24">
        <v>75</v>
      </c>
      <c r="J34" s="24">
        <v>3130</v>
      </c>
      <c r="K34" s="24">
        <v>2195</v>
      </c>
    </row>
    <row r="35" spans="1:11" ht="12.75">
      <c r="A35" s="23" t="s">
        <v>23</v>
      </c>
      <c r="B35" s="24">
        <v>277130</v>
      </c>
      <c r="C35" s="24">
        <v>170895</v>
      </c>
      <c r="D35" s="24">
        <v>39560</v>
      </c>
      <c r="E35" s="24">
        <v>51995</v>
      </c>
      <c r="F35" s="24">
        <v>6865</v>
      </c>
      <c r="G35" s="24">
        <v>20</v>
      </c>
      <c r="H35" s="24">
        <v>3430</v>
      </c>
      <c r="I35" s="24">
        <v>60</v>
      </c>
      <c r="J35" s="24">
        <v>2750</v>
      </c>
      <c r="K35" s="24">
        <v>1550</v>
      </c>
    </row>
    <row r="36" spans="1:11" ht="12.75">
      <c r="A36" s="23" t="s">
        <v>24</v>
      </c>
      <c r="B36" s="24">
        <v>262115</v>
      </c>
      <c r="C36" s="24">
        <v>179465</v>
      </c>
      <c r="D36" s="24">
        <v>22635</v>
      </c>
      <c r="E36" s="24">
        <v>54550</v>
      </c>
      <c r="F36" s="24">
        <v>420</v>
      </c>
      <c r="G36" s="24">
        <v>15</v>
      </c>
      <c r="H36" s="24">
        <v>3505</v>
      </c>
      <c r="I36" s="24">
        <v>30</v>
      </c>
      <c r="J36" s="24">
        <v>1010</v>
      </c>
      <c r="K36" s="24">
        <v>485</v>
      </c>
    </row>
    <row r="37" spans="1:11" ht="12.75">
      <c r="A37" s="23" t="s">
        <v>25</v>
      </c>
      <c r="B37" s="24">
        <v>472560</v>
      </c>
      <c r="C37" s="24">
        <v>171880</v>
      </c>
      <c r="D37" s="24">
        <v>49195</v>
      </c>
      <c r="E37" s="24">
        <v>198465</v>
      </c>
      <c r="F37" s="24">
        <v>19455</v>
      </c>
      <c r="G37" s="24">
        <v>8595</v>
      </c>
      <c r="H37" s="24">
        <v>21455</v>
      </c>
      <c r="I37" s="24">
        <v>75</v>
      </c>
      <c r="J37" s="24">
        <v>1835</v>
      </c>
      <c r="K37" s="24">
        <v>1615</v>
      </c>
    </row>
    <row r="38" spans="1:11" ht="12.75">
      <c r="A38" s="23" t="s">
        <v>26</v>
      </c>
      <c r="B38" s="24">
        <v>539620</v>
      </c>
      <c r="C38" s="24">
        <v>254135</v>
      </c>
      <c r="D38" s="24">
        <v>35370</v>
      </c>
      <c r="E38" s="24">
        <v>240050</v>
      </c>
      <c r="F38" s="24">
        <v>1215</v>
      </c>
      <c r="G38" s="24">
        <v>40</v>
      </c>
      <c r="H38" s="24">
        <v>4620</v>
      </c>
      <c r="I38" s="24">
        <v>170</v>
      </c>
      <c r="J38" s="24">
        <v>1070</v>
      </c>
      <c r="K38" s="24">
        <v>2935</v>
      </c>
    </row>
    <row r="39" spans="1:11" ht="12.75">
      <c r="A39" s="23" t="s">
        <v>4</v>
      </c>
      <c r="B39" s="24">
        <v>128775</v>
      </c>
      <c r="C39" s="24">
        <v>5260</v>
      </c>
      <c r="D39" s="24">
        <v>6375</v>
      </c>
      <c r="E39" s="24">
        <v>11180</v>
      </c>
      <c r="F39" s="24">
        <v>96805</v>
      </c>
      <c r="G39" s="24">
        <v>185</v>
      </c>
      <c r="H39" s="24">
        <v>8065</v>
      </c>
      <c r="I39" s="24">
        <v>45</v>
      </c>
      <c r="J39" s="24">
        <v>515</v>
      </c>
      <c r="K39" s="24">
        <v>345</v>
      </c>
    </row>
    <row r="40" spans="1:11" ht="12.75">
      <c r="A40" s="23" t="s">
        <v>27</v>
      </c>
      <c r="B40" s="24">
        <v>492800</v>
      </c>
      <c r="C40" s="24">
        <v>231095</v>
      </c>
      <c r="D40" s="24">
        <v>17820</v>
      </c>
      <c r="E40" s="24">
        <v>148445</v>
      </c>
      <c r="F40" s="24">
        <v>83295</v>
      </c>
      <c r="G40" s="24">
        <v>990</v>
      </c>
      <c r="H40" s="24">
        <v>5010</v>
      </c>
      <c r="I40" s="24">
        <v>175</v>
      </c>
      <c r="J40" s="24">
        <v>3300</v>
      </c>
      <c r="K40" s="24">
        <v>2660</v>
      </c>
    </row>
    <row r="41" spans="1:11" ht="12.75">
      <c r="A41" s="23" t="s">
        <v>5</v>
      </c>
      <c r="B41" s="24">
        <v>669015</v>
      </c>
      <c r="C41" s="24">
        <v>298065</v>
      </c>
      <c r="D41" s="24">
        <v>22030</v>
      </c>
      <c r="E41" s="24">
        <v>124235</v>
      </c>
      <c r="F41" s="24">
        <v>211520</v>
      </c>
      <c r="G41" s="24">
        <v>455</v>
      </c>
      <c r="H41" s="24">
        <v>3650</v>
      </c>
      <c r="I41" s="24">
        <v>105</v>
      </c>
      <c r="J41" s="24">
        <v>4520</v>
      </c>
      <c r="K41" s="24">
        <v>4440</v>
      </c>
    </row>
    <row r="42" spans="1:11" ht="12.75">
      <c r="A42" s="23" t="s">
        <v>28</v>
      </c>
      <c r="B42" s="24">
        <v>973060</v>
      </c>
      <c r="C42" s="24">
        <v>720640</v>
      </c>
      <c r="D42" s="24">
        <v>90315</v>
      </c>
      <c r="E42" s="24">
        <v>96680</v>
      </c>
      <c r="F42" s="24">
        <v>35360</v>
      </c>
      <c r="G42" s="24">
        <v>325</v>
      </c>
      <c r="H42" s="24">
        <v>15950</v>
      </c>
      <c r="I42" s="24">
        <v>220</v>
      </c>
      <c r="J42" s="24">
        <v>8240</v>
      </c>
      <c r="K42" s="24">
        <v>5325</v>
      </c>
    </row>
    <row r="43" spans="1:11" ht="12.75">
      <c r="A43" s="23" t="s">
        <v>29</v>
      </c>
      <c r="B43" s="24">
        <v>454100</v>
      </c>
      <c r="C43" s="24">
        <v>253940</v>
      </c>
      <c r="D43" s="24">
        <v>54100</v>
      </c>
      <c r="E43" s="24">
        <v>83030</v>
      </c>
      <c r="F43" s="24">
        <v>39220</v>
      </c>
      <c r="G43" s="24">
        <v>205</v>
      </c>
      <c r="H43" s="24">
        <v>11030</v>
      </c>
      <c r="I43" s="24">
        <v>90</v>
      </c>
      <c r="J43" s="24">
        <v>8260</v>
      </c>
      <c r="K43" s="24">
        <v>4220</v>
      </c>
    </row>
    <row r="44" spans="1:11" ht="12.75">
      <c r="A44" s="23" t="s">
        <v>30</v>
      </c>
      <c r="B44" s="24">
        <v>330980</v>
      </c>
      <c r="C44" s="24">
        <v>119795</v>
      </c>
      <c r="D44" s="24">
        <v>79730</v>
      </c>
      <c r="E44" s="24">
        <v>121630</v>
      </c>
      <c r="F44" s="24">
        <v>875</v>
      </c>
      <c r="G44" s="24">
        <v>40</v>
      </c>
      <c r="H44" s="24">
        <v>6665</v>
      </c>
      <c r="I44" s="24">
        <v>95</v>
      </c>
      <c r="J44" s="24">
        <v>620</v>
      </c>
      <c r="K44" s="24">
        <v>1525</v>
      </c>
    </row>
    <row r="45" spans="1:11" ht="12.75">
      <c r="A45" s="23" t="s">
        <v>31</v>
      </c>
      <c r="B45" s="24">
        <v>603425</v>
      </c>
      <c r="C45" s="24">
        <v>306070</v>
      </c>
      <c r="D45" s="24">
        <v>96585</v>
      </c>
      <c r="E45" s="24">
        <v>165175</v>
      </c>
      <c r="F45" s="24">
        <v>4220</v>
      </c>
      <c r="G45" s="24">
        <v>55</v>
      </c>
      <c r="H45" s="24">
        <v>27420</v>
      </c>
      <c r="I45" s="24">
        <v>140</v>
      </c>
      <c r="J45" s="24">
        <v>2120</v>
      </c>
      <c r="K45" s="24">
        <v>1640</v>
      </c>
    </row>
    <row r="46" spans="1:11" ht="12.75">
      <c r="A46" s="23" t="s">
        <v>32</v>
      </c>
      <c r="B46" s="24">
        <v>92570</v>
      </c>
      <c r="C46" s="24">
        <v>47915</v>
      </c>
      <c r="D46" s="24">
        <v>12055</v>
      </c>
      <c r="E46" s="24">
        <v>20255</v>
      </c>
      <c r="F46" s="24">
        <v>3200</v>
      </c>
      <c r="G46" s="24">
        <v>370</v>
      </c>
      <c r="H46" s="24">
        <v>7145</v>
      </c>
      <c r="I46" s="24">
        <v>50</v>
      </c>
      <c r="J46" s="24">
        <v>1255</v>
      </c>
      <c r="K46" s="24">
        <v>330</v>
      </c>
    </row>
    <row r="47" spans="1:11" ht="12.75">
      <c r="A47" s="23" t="s">
        <v>33</v>
      </c>
      <c r="B47" s="24">
        <v>170485</v>
      </c>
      <c r="C47" s="24">
        <v>106725</v>
      </c>
      <c r="D47" s="24">
        <v>20545</v>
      </c>
      <c r="E47" s="24">
        <v>36305</v>
      </c>
      <c r="F47" s="24">
        <v>2610</v>
      </c>
      <c r="G47" s="24">
        <v>30</v>
      </c>
      <c r="H47" s="24">
        <v>2360</v>
      </c>
      <c r="I47" s="24">
        <v>45</v>
      </c>
      <c r="J47" s="24">
        <v>1385</v>
      </c>
      <c r="K47" s="24">
        <v>470</v>
      </c>
    </row>
    <row r="48" spans="1:11" ht="12.75">
      <c r="A48" s="23" t="s">
        <v>34</v>
      </c>
      <c r="B48" s="24">
        <v>168855</v>
      </c>
      <c r="C48" s="24">
        <v>72430</v>
      </c>
      <c r="D48" s="24">
        <v>9145</v>
      </c>
      <c r="E48" s="24">
        <v>81720</v>
      </c>
      <c r="F48" s="24">
        <v>2015</v>
      </c>
      <c r="G48" s="24">
        <v>45</v>
      </c>
      <c r="H48" s="24">
        <v>1950</v>
      </c>
      <c r="I48" s="24">
        <v>130</v>
      </c>
      <c r="J48" s="24">
        <v>735</v>
      </c>
      <c r="K48" s="24">
        <v>685</v>
      </c>
    </row>
    <row r="49" spans="1:11" ht="12.75">
      <c r="A49" s="23" t="s">
        <v>6</v>
      </c>
      <c r="B49" s="24">
        <v>104115</v>
      </c>
      <c r="C49" s="24">
        <v>19630</v>
      </c>
      <c r="D49" s="24">
        <v>9590</v>
      </c>
      <c r="E49" s="24">
        <v>12805</v>
      </c>
      <c r="F49" s="24">
        <v>56495</v>
      </c>
      <c r="G49" s="24">
        <v>105</v>
      </c>
      <c r="H49" s="24">
        <v>4220</v>
      </c>
      <c r="I49" s="24">
        <v>25</v>
      </c>
      <c r="J49" s="24">
        <v>860</v>
      </c>
      <c r="K49" s="24">
        <v>380</v>
      </c>
    </row>
    <row r="50" spans="1:11" ht="12.75">
      <c r="A50" s="23" t="s">
        <v>7</v>
      </c>
      <c r="B50" s="24">
        <v>793000</v>
      </c>
      <c r="C50" s="24">
        <v>479615</v>
      </c>
      <c r="D50" s="24">
        <v>25425</v>
      </c>
      <c r="E50" s="24">
        <v>119280</v>
      </c>
      <c r="F50" s="24">
        <v>155130</v>
      </c>
      <c r="G50" s="24">
        <v>325</v>
      </c>
      <c r="H50" s="24">
        <v>1405</v>
      </c>
      <c r="I50" s="24">
        <v>195</v>
      </c>
      <c r="J50" s="24">
        <v>6165</v>
      </c>
      <c r="K50" s="24">
        <v>5455</v>
      </c>
    </row>
    <row r="51" spans="1:11" ht="12.75">
      <c r="A51" s="23" t="s">
        <v>35</v>
      </c>
      <c r="B51" s="24">
        <v>181180</v>
      </c>
      <c r="C51" s="24">
        <v>109505</v>
      </c>
      <c r="D51" s="24">
        <v>31230</v>
      </c>
      <c r="E51" s="24">
        <v>22765</v>
      </c>
      <c r="F51" s="24">
        <v>340</v>
      </c>
      <c r="G51" s="24">
        <v>355</v>
      </c>
      <c r="H51" s="24">
        <v>15520</v>
      </c>
      <c r="I51" s="24">
        <v>295</v>
      </c>
      <c r="J51" s="24">
        <v>605</v>
      </c>
      <c r="K51" s="24">
        <v>570</v>
      </c>
    </row>
    <row r="52" spans="1:11" ht="12.75">
      <c r="A52" s="23" t="s">
        <v>8</v>
      </c>
      <c r="B52" s="24">
        <v>2054625</v>
      </c>
      <c r="C52" s="24">
        <v>1051045</v>
      </c>
      <c r="D52" s="24">
        <v>80135</v>
      </c>
      <c r="E52" s="24">
        <v>243210</v>
      </c>
      <c r="F52" s="24">
        <v>602940</v>
      </c>
      <c r="G52" s="24">
        <v>2425</v>
      </c>
      <c r="H52" s="24">
        <v>20370</v>
      </c>
      <c r="I52" s="24">
        <v>1210</v>
      </c>
      <c r="J52" s="24">
        <v>29535</v>
      </c>
      <c r="K52" s="24">
        <v>23755</v>
      </c>
    </row>
    <row r="53" spans="1:11" ht="12.75">
      <c r="A53" s="23" t="s">
        <v>36</v>
      </c>
      <c r="B53" s="24">
        <v>852555</v>
      </c>
      <c r="C53" s="24">
        <v>158935</v>
      </c>
      <c r="D53" s="24">
        <v>115240</v>
      </c>
      <c r="E53" s="24">
        <v>411325</v>
      </c>
      <c r="F53" s="24">
        <v>136520</v>
      </c>
      <c r="G53" s="24">
        <v>180</v>
      </c>
      <c r="H53" s="24">
        <v>24360</v>
      </c>
      <c r="I53" s="24">
        <v>340</v>
      </c>
      <c r="J53" s="24">
        <v>2565</v>
      </c>
      <c r="K53" s="24">
        <v>3095</v>
      </c>
    </row>
    <row r="54" spans="1:11" ht="12.75">
      <c r="A54" s="23" t="s">
        <v>37</v>
      </c>
      <c r="B54" s="24">
        <v>65825</v>
      </c>
      <c r="C54" s="24">
        <v>22430</v>
      </c>
      <c r="D54" s="24">
        <v>11180</v>
      </c>
      <c r="E54" s="24">
        <v>22155</v>
      </c>
      <c r="F54" s="24">
        <v>6805</v>
      </c>
      <c r="G54" s="24">
        <v>625</v>
      </c>
      <c r="H54" s="24">
        <v>370</v>
      </c>
      <c r="I54" s="24">
        <v>20</v>
      </c>
      <c r="J54" s="24">
        <v>1515</v>
      </c>
      <c r="K54" s="24">
        <v>730</v>
      </c>
    </row>
    <row r="55" spans="1:11" ht="12.75">
      <c r="A55" s="23" t="s">
        <v>38</v>
      </c>
      <c r="B55" s="24">
        <v>1195015</v>
      </c>
      <c r="C55" s="24">
        <v>783180</v>
      </c>
      <c r="D55" s="24">
        <v>69105</v>
      </c>
      <c r="E55" s="24">
        <v>256095</v>
      </c>
      <c r="F55" s="24">
        <v>53255</v>
      </c>
      <c r="G55" s="24">
        <v>1530</v>
      </c>
      <c r="H55" s="24">
        <v>14225</v>
      </c>
      <c r="I55" s="24">
        <v>295</v>
      </c>
      <c r="J55" s="24">
        <v>11790</v>
      </c>
      <c r="K55" s="24">
        <v>5540</v>
      </c>
    </row>
    <row r="56" spans="1:11" ht="12.75">
      <c r="A56" s="23" t="s">
        <v>39</v>
      </c>
      <c r="B56" s="24">
        <v>369600</v>
      </c>
      <c r="C56" s="24">
        <v>207605</v>
      </c>
      <c r="D56" s="24">
        <v>47465</v>
      </c>
      <c r="E56" s="24">
        <v>103000</v>
      </c>
      <c r="F56" s="24">
        <v>445</v>
      </c>
      <c r="G56" s="24">
        <v>10</v>
      </c>
      <c r="H56" s="24">
        <v>8525</v>
      </c>
      <c r="I56" s="24">
        <v>75</v>
      </c>
      <c r="J56" s="24">
        <v>1420</v>
      </c>
      <c r="K56" s="24">
        <v>1055</v>
      </c>
    </row>
    <row r="57" spans="1:11" ht="12.75">
      <c r="A57" s="23" t="s">
        <v>40</v>
      </c>
      <c r="B57" s="24">
        <v>350335</v>
      </c>
      <c r="C57" s="24">
        <v>78435</v>
      </c>
      <c r="D57" s="24">
        <v>8040</v>
      </c>
      <c r="E57" s="24">
        <v>213545</v>
      </c>
      <c r="F57" s="24">
        <v>19180</v>
      </c>
      <c r="G57" s="24">
        <v>45</v>
      </c>
      <c r="H57" s="24">
        <v>27015</v>
      </c>
      <c r="I57" s="24">
        <v>110</v>
      </c>
      <c r="J57" s="24">
        <v>2800</v>
      </c>
      <c r="K57" s="24">
        <v>1165</v>
      </c>
    </row>
    <row r="58" spans="1:11" ht="12.75">
      <c r="A58" s="23" t="s">
        <v>9</v>
      </c>
      <c r="B58" s="24">
        <v>1347235</v>
      </c>
      <c r="C58" s="24">
        <v>717210</v>
      </c>
      <c r="D58" s="24">
        <v>42175</v>
      </c>
      <c r="E58" s="24">
        <v>214355</v>
      </c>
      <c r="F58" s="24">
        <v>321215</v>
      </c>
      <c r="G58" s="24">
        <v>18705</v>
      </c>
      <c r="H58" s="24">
        <v>20030</v>
      </c>
      <c r="I58" s="24">
        <v>230</v>
      </c>
      <c r="J58" s="24">
        <v>8125</v>
      </c>
      <c r="K58" s="24">
        <v>5195</v>
      </c>
    </row>
    <row r="59" spans="1:11" ht="12.75">
      <c r="A59" s="23" t="s">
        <v>10</v>
      </c>
      <c r="B59" s="24">
        <v>130110</v>
      </c>
      <c r="C59" s="24">
        <v>67415</v>
      </c>
      <c r="D59" s="24">
        <v>4225</v>
      </c>
      <c r="E59" s="24">
        <v>14520</v>
      </c>
      <c r="F59" s="24">
        <v>42210</v>
      </c>
      <c r="G59" s="24">
        <v>80</v>
      </c>
      <c r="H59" s="24">
        <v>525</v>
      </c>
      <c r="I59" s="24">
        <v>25</v>
      </c>
      <c r="J59" s="24">
        <v>585</v>
      </c>
      <c r="K59" s="24">
        <v>525</v>
      </c>
    </row>
    <row r="60" spans="1:11" ht="12.75">
      <c r="A60" s="23" t="s">
        <v>41</v>
      </c>
      <c r="B60" s="24">
        <v>438445</v>
      </c>
      <c r="C60" s="24">
        <v>104515</v>
      </c>
      <c r="D60" s="24">
        <v>49100</v>
      </c>
      <c r="E60" s="24">
        <v>237860</v>
      </c>
      <c r="F60" s="24">
        <v>35875</v>
      </c>
      <c r="G60" s="24">
        <v>75</v>
      </c>
      <c r="H60" s="24">
        <v>8045</v>
      </c>
      <c r="I60" s="24">
        <v>175</v>
      </c>
      <c r="J60" s="24">
        <v>935</v>
      </c>
      <c r="K60" s="24">
        <v>1865</v>
      </c>
    </row>
    <row r="61" spans="1:11" ht="12.75">
      <c r="A61" s="23" t="s">
        <v>42</v>
      </c>
      <c r="B61" s="24">
        <v>74065</v>
      </c>
      <c r="C61" s="24">
        <v>26350</v>
      </c>
      <c r="D61" s="24">
        <v>19215</v>
      </c>
      <c r="E61" s="24">
        <v>19460</v>
      </c>
      <c r="F61" s="24">
        <v>5840</v>
      </c>
      <c r="G61" s="24">
        <v>125</v>
      </c>
      <c r="H61" s="24">
        <v>1505</v>
      </c>
      <c r="I61" s="24">
        <v>30</v>
      </c>
      <c r="J61" s="24">
        <v>1010</v>
      </c>
      <c r="K61" s="24">
        <v>535</v>
      </c>
    </row>
    <row r="62" spans="1:11" ht="12.75">
      <c r="A62" s="23" t="s">
        <v>43</v>
      </c>
      <c r="B62" s="24">
        <v>618095</v>
      </c>
      <c r="C62" s="24">
        <v>180725</v>
      </c>
      <c r="D62" s="24">
        <v>47570</v>
      </c>
      <c r="E62" s="24">
        <v>342720</v>
      </c>
      <c r="F62" s="24">
        <v>19610</v>
      </c>
      <c r="G62" s="24">
        <v>1635</v>
      </c>
      <c r="H62" s="24">
        <v>22380</v>
      </c>
      <c r="I62" s="24">
        <v>120</v>
      </c>
      <c r="J62" s="24">
        <v>1100</v>
      </c>
      <c r="K62" s="24">
        <v>2235</v>
      </c>
    </row>
    <row r="63" spans="1:11" ht="12.75">
      <c r="A63" s="23" t="s">
        <v>44</v>
      </c>
      <c r="B63" s="24">
        <v>1983080</v>
      </c>
      <c r="C63" s="24">
        <v>821925</v>
      </c>
      <c r="D63" s="24">
        <v>169885</v>
      </c>
      <c r="E63" s="24">
        <v>956640</v>
      </c>
      <c r="F63" s="24">
        <v>2185</v>
      </c>
      <c r="G63" s="24">
        <v>180</v>
      </c>
      <c r="H63" s="24">
        <v>10880</v>
      </c>
      <c r="I63" s="24">
        <v>845</v>
      </c>
      <c r="J63" s="24">
        <v>4280</v>
      </c>
      <c r="K63" s="24">
        <v>16260</v>
      </c>
    </row>
    <row r="64" spans="1:11" ht="12.75">
      <c r="A64" s="23" t="s">
        <v>45</v>
      </c>
      <c r="B64" s="24">
        <v>150515</v>
      </c>
      <c r="C64" s="24">
        <v>114910</v>
      </c>
      <c r="D64" s="24">
        <v>6490</v>
      </c>
      <c r="E64" s="24">
        <v>22895</v>
      </c>
      <c r="F64" s="24">
        <v>1310</v>
      </c>
      <c r="G64" s="24">
        <v>900</v>
      </c>
      <c r="H64" s="24">
        <v>2870</v>
      </c>
      <c r="I64" s="24">
        <v>70</v>
      </c>
      <c r="J64" s="24">
        <v>745</v>
      </c>
      <c r="K64" s="24">
        <v>325</v>
      </c>
    </row>
    <row r="65" spans="1:11" ht="12.75">
      <c r="A65" s="23" t="s">
        <v>11</v>
      </c>
      <c r="B65" s="24">
        <v>57175</v>
      </c>
      <c r="C65" s="24">
        <v>6095</v>
      </c>
      <c r="D65" s="24">
        <v>8065</v>
      </c>
      <c r="E65" s="24">
        <v>5050</v>
      </c>
      <c r="F65" s="24">
        <v>32620</v>
      </c>
      <c r="G65" s="24">
        <v>95</v>
      </c>
      <c r="H65" s="24">
        <v>4795</v>
      </c>
      <c r="I65" s="24">
        <v>20</v>
      </c>
      <c r="J65" s="24">
        <v>235</v>
      </c>
      <c r="K65" s="24">
        <v>195</v>
      </c>
    </row>
    <row r="66" spans="1:11" ht="12.75">
      <c r="A66" s="23" t="s">
        <v>46</v>
      </c>
      <c r="B66" s="24">
        <v>656520</v>
      </c>
      <c r="C66" s="24">
        <v>167365</v>
      </c>
      <c r="D66" s="24">
        <v>37375</v>
      </c>
      <c r="E66" s="24">
        <v>295515</v>
      </c>
      <c r="F66" s="24">
        <v>118735</v>
      </c>
      <c r="G66" s="24">
        <v>3420</v>
      </c>
      <c r="H66" s="24">
        <v>28145</v>
      </c>
      <c r="I66" s="24">
        <v>220</v>
      </c>
      <c r="J66" s="24">
        <v>2895</v>
      </c>
      <c r="K66" s="24">
        <v>2850</v>
      </c>
    </row>
    <row r="67" spans="1:11" ht="12.75">
      <c r="A67" s="23" t="s">
        <v>47</v>
      </c>
      <c r="B67" s="24">
        <v>551230</v>
      </c>
      <c r="C67" s="24">
        <v>110035</v>
      </c>
      <c r="D67" s="24">
        <v>14505</v>
      </c>
      <c r="E67" s="24">
        <v>366220</v>
      </c>
      <c r="F67" s="24">
        <v>24980</v>
      </c>
      <c r="G67" s="24">
        <v>185</v>
      </c>
      <c r="H67" s="24">
        <v>28975</v>
      </c>
      <c r="I67" s="24">
        <v>85</v>
      </c>
      <c r="J67" s="24">
        <v>4230</v>
      </c>
      <c r="K67" s="24">
        <v>2015</v>
      </c>
    </row>
    <row r="68" spans="1:11" ht="12.75">
      <c r="A68" s="23" t="s">
        <v>48</v>
      </c>
      <c r="B68" s="24">
        <v>232685</v>
      </c>
      <c r="C68" s="24">
        <v>102000</v>
      </c>
      <c r="D68" s="24">
        <v>13870</v>
      </c>
      <c r="E68" s="24">
        <v>76960</v>
      </c>
      <c r="F68" s="24">
        <v>17565</v>
      </c>
      <c r="G68" s="24">
        <v>4480</v>
      </c>
      <c r="H68" s="24">
        <v>15755</v>
      </c>
      <c r="I68" s="24">
        <v>20</v>
      </c>
      <c r="J68" s="24">
        <v>1510</v>
      </c>
      <c r="K68" s="24">
        <v>535</v>
      </c>
    </row>
    <row r="69" spans="1:11" ht="12.75">
      <c r="A69" s="23" t="s">
        <v>49</v>
      </c>
      <c r="B69" s="24">
        <v>499735</v>
      </c>
      <c r="C69" s="24">
        <v>294600</v>
      </c>
      <c r="D69" s="24">
        <v>53690</v>
      </c>
      <c r="E69" s="24">
        <v>89100</v>
      </c>
      <c r="F69" s="24">
        <v>39580</v>
      </c>
      <c r="G69" s="24">
        <v>155</v>
      </c>
      <c r="H69" s="24">
        <v>15005</v>
      </c>
      <c r="I69" s="24">
        <v>100</v>
      </c>
      <c r="J69" s="24">
        <v>5115</v>
      </c>
      <c r="K69" s="24">
        <v>2390</v>
      </c>
    </row>
    <row r="70" spans="1:11" ht="12.75">
      <c r="A70" s="23" t="s">
        <v>50</v>
      </c>
      <c r="B70" s="24">
        <v>48345</v>
      </c>
      <c r="C70" s="24">
        <v>29430</v>
      </c>
      <c r="D70" s="24">
        <v>5345</v>
      </c>
      <c r="E70" s="24">
        <v>10580</v>
      </c>
      <c r="F70" s="24">
        <v>130</v>
      </c>
      <c r="G70" s="24">
        <v>340</v>
      </c>
      <c r="H70" s="24">
        <v>1855</v>
      </c>
      <c r="I70" s="24">
        <v>15</v>
      </c>
      <c r="J70" s="24">
        <v>485</v>
      </c>
      <c r="K70" s="24">
        <v>165</v>
      </c>
    </row>
    <row r="71" spans="2:11" ht="12.75">
      <c r="B71" s="24"/>
      <c r="C71" s="24"/>
      <c r="D71" s="24"/>
      <c r="E71" s="24"/>
      <c r="F71" s="24"/>
      <c r="G71" s="24"/>
      <c r="H71" s="24"/>
      <c r="I71" s="24"/>
      <c r="J71" s="24"/>
      <c r="K71" s="24"/>
    </row>
    <row r="72" spans="1:11" ht="12.75">
      <c r="A72" s="113" t="s">
        <v>83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</row>
    <row r="73" spans="1:11" ht="12.75">
      <c r="A73" s="115" t="s">
        <v>84</v>
      </c>
      <c r="B73" s="116"/>
      <c r="C73" s="116"/>
      <c r="D73" s="116"/>
      <c r="E73" s="116"/>
      <c r="F73" s="116"/>
      <c r="G73" s="116"/>
      <c r="H73" s="116"/>
      <c r="I73" s="116"/>
      <c r="J73" s="114"/>
      <c r="K73" s="114"/>
    </row>
    <row r="74" spans="1:11" ht="39" customHeight="1">
      <c r="A74" s="115" t="s">
        <v>85</v>
      </c>
      <c r="B74" s="116"/>
      <c r="C74" s="116"/>
      <c r="D74" s="116"/>
      <c r="E74" s="116"/>
      <c r="F74" s="116"/>
      <c r="G74" s="116"/>
      <c r="H74" s="116"/>
      <c r="I74" s="116"/>
      <c r="J74" s="114"/>
      <c r="K74" s="114"/>
    </row>
    <row r="75" spans="1:11" ht="12.75">
      <c r="A75" s="113" t="s">
        <v>86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</row>
  </sheetData>
  <mergeCells count="8">
    <mergeCell ref="A1:K1"/>
    <mergeCell ref="B2:B3"/>
    <mergeCell ref="A2:A3"/>
    <mergeCell ref="C2:K2"/>
    <mergeCell ref="A72:K72"/>
    <mergeCell ref="A73:K73"/>
    <mergeCell ref="A74:K74"/>
    <mergeCell ref="A75:K75"/>
  </mergeCells>
  <printOptions horizontalCentered="1"/>
  <pageMargins left="0.25" right="0.25" top="0.25" bottom="0.25" header="0" footer="0"/>
  <pageSetup fitToHeight="1" fitToWidth="1" horizontalDpi="600" verticalDpi="600" orientation="portrait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5"/>
  <sheetViews>
    <sheetView workbookViewId="0" topLeftCell="A1">
      <selection activeCell="A2" sqref="A2:I2"/>
    </sheetView>
  </sheetViews>
  <sheetFormatPr defaultColWidth="9.33203125" defaultRowHeight="12.75"/>
  <cols>
    <col min="1" max="1" width="42" style="97" customWidth="1"/>
    <col min="2" max="2" width="18.83203125" style="97" customWidth="1"/>
    <col min="3" max="3" width="2.16015625" style="97" customWidth="1"/>
    <col min="4" max="4" width="23.16015625" style="59" customWidth="1"/>
    <col min="5" max="5" width="22.33203125" style="59" bestFit="1" customWidth="1"/>
    <col min="6" max="6" width="2.16015625" style="97" customWidth="1"/>
    <col min="7" max="7" width="30.16015625" style="59" customWidth="1"/>
    <col min="8" max="8" width="19.83203125" style="59" customWidth="1"/>
    <col min="9" max="9" width="6.5" style="97" customWidth="1"/>
    <col min="10" max="16384" width="12" style="97" customWidth="1"/>
  </cols>
  <sheetData>
    <row r="1" spans="1:9" ht="30" customHeight="1">
      <c r="A1" s="111" t="str">
        <f>"Allocation of "&amp;TEXT(Formula!E2/1000000,"$0.00")&amp;" Million in FY 2006 LIHEAP Emergency Funds to Reflect Low Income Household Usage of FO, LPG &amp; NG Weighted by FY06 Block Grant Percents"</f>
        <v>Allocation of $100.00 Million in FY 2006 LIHEAP Emergency Funds to Reflect Low Income Household Usage of FO, LPG &amp; NG Weighted by FY06 Block Grant Percents</v>
      </c>
      <c r="B1" s="111"/>
      <c r="C1" s="111"/>
      <c r="D1" s="111"/>
      <c r="E1" s="111"/>
      <c r="F1" s="111"/>
      <c r="G1" s="111"/>
      <c r="H1" s="111"/>
      <c r="I1" s="26"/>
    </row>
    <row r="2" spans="1:9" ht="12.75">
      <c r="A2" s="112" t="s">
        <v>316</v>
      </c>
      <c r="B2" s="112"/>
      <c r="C2" s="112"/>
      <c r="D2" s="112"/>
      <c r="E2" s="112"/>
      <c r="F2" s="112"/>
      <c r="G2" s="112"/>
      <c r="H2" s="112"/>
      <c r="I2" s="112"/>
    </row>
    <row r="3" spans="1:9" ht="14.25">
      <c r="A3" s="92" t="s">
        <v>325</v>
      </c>
      <c r="B3" s="66"/>
      <c r="C3" s="65"/>
      <c r="D3" s="66"/>
      <c r="E3" s="66"/>
      <c r="F3" s="66"/>
      <c r="G3" s="66"/>
      <c r="H3" s="66"/>
      <c r="I3" s="66"/>
    </row>
    <row r="4" spans="1:8" ht="25.5">
      <c r="A4" s="98" t="s">
        <v>128</v>
      </c>
      <c r="B4" s="98" t="s">
        <v>326</v>
      </c>
      <c r="D4" s="98" t="s">
        <v>127</v>
      </c>
      <c r="E4" s="98" t="s">
        <v>327</v>
      </c>
      <c r="G4" s="98" t="s">
        <v>129</v>
      </c>
      <c r="H4" s="98" t="s">
        <v>328</v>
      </c>
    </row>
    <row r="5" spans="1:2" ht="12.75">
      <c r="A5" s="98"/>
      <c r="B5" s="98"/>
    </row>
    <row r="6" spans="1:8" ht="12.75">
      <c r="A6" s="99" t="s">
        <v>12</v>
      </c>
      <c r="B6" s="59"/>
      <c r="D6" s="59" t="s">
        <v>12</v>
      </c>
      <c r="E6" s="59">
        <f>'State Allocations'!D8</f>
        <v>657541</v>
      </c>
      <c r="G6" s="59" t="s">
        <v>101</v>
      </c>
      <c r="H6" s="59">
        <f>Formula!D66</f>
        <v>2240</v>
      </c>
    </row>
    <row r="7" spans="1:8" ht="12.75">
      <c r="A7" s="95" t="s">
        <v>155</v>
      </c>
      <c r="B7" s="59">
        <f>Tribes!G13</f>
        <v>141</v>
      </c>
      <c r="D7" s="59" t="s">
        <v>1</v>
      </c>
      <c r="E7" s="59">
        <f>'State Allocations'!D9</f>
        <v>394023</v>
      </c>
      <c r="G7" s="59" t="s">
        <v>102</v>
      </c>
      <c r="H7" s="59">
        <f>Formula!D67</f>
        <v>4912</v>
      </c>
    </row>
    <row r="8" spans="1:8" ht="12.75">
      <c r="A8" s="100" t="s">
        <v>157</v>
      </c>
      <c r="B8" s="59">
        <f>Tribes!G14</f>
        <v>2098</v>
      </c>
      <c r="D8" s="59" t="s">
        <v>13</v>
      </c>
      <c r="E8" s="59">
        <f>'State Allocations'!D10</f>
        <v>236289</v>
      </c>
      <c r="G8" s="59" t="s">
        <v>103</v>
      </c>
      <c r="H8" s="59">
        <f>Formula!D68</f>
        <v>1706</v>
      </c>
    </row>
    <row r="9" spans="1:8" ht="12.75">
      <c r="A9" s="100" t="s">
        <v>159</v>
      </c>
      <c r="B9" s="59">
        <f>Tribes!G15</f>
        <v>1582</v>
      </c>
      <c r="D9" s="59" t="s">
        <v>14</v>
      </c>
      <c r="E9" s="59">
        <f>'State Allocations'!D11</f>
        <v>571429</v>
      </c>
      <c r="G9" s="59" t="s">
        <v>104</v>
      </c>
      <c r="H9" s="59">
        <f>Formula!D69</f>
        <v>121925</v>
      </c>
    </row>
    <row r="10" spans="1:8" ht="13.5" thickBot="1">
      <c r="A10" s="100" t="s">
        <v>160</v>
      </c>
      <c r="B10" s="59">
        <f>Tribes!G16</f>
        <v>344</v>
      </c>
      <c r="D10" s="59" t="s">
        <v>15</v>
      </c>
      <c r="E10" s="59">
        <f>'State Allocations'!D12</f>
        <v>4408935</v>
      </c>
      <c r="G10" s="59" t="s">
        <v>105</v>
      </c>
      <c r="H10" s="59">
        <f>Formula!D70</f>
        <v>4645</v>
      </c>
    </row>
    <row r="11" spans="1:8" ht="26.25" thickTop="1">
      <c r="A11" s="95"/>
      <c r="B11" s="59">
        <f>IF('[1]Tribes'!G18="","",'[1]Tribes'!G18)</f>
      </c>
      <c r="D11" s="59" t="s">
        <v>16</v>
      </c>
      <c r="E11" s="59">
        <f>'State Allocations'!D13</f>
        <v>1674401</v>
      </c>
      <c r="G11" s="101" t="s">
        <v>322</v>
      </c>
      <c r="H11" s="102">
        <f>SUM(H6:H10)</f>
        <v>135428</v>
      </c>
    </row>
    <row r="12" spans="1:5" ht="12.75">
      <c r="A12" s="99" t="s">
        <v>1</v>
      </c>
      <c r="B12" s="59">
        <f>IF('[1]Tribes'!G19="","",'[1]Tribes'!G19)</f>
      </c>
      <c r="D12" s="59" t="s">
        <v>2</v>
      </c>
      <c r="E12" s="59">
        <f>'State Allocations'!D14</f>
        <v>2304322</v>
      </c>
    </row>
    <row r="13" spans="1:5" ht="12.75">
      <c r="A13" s="100" t="s">
        <v>161</v>
      </c>
      <c r="B13" s="59">
        <f>Tribes!G19</f>
        <v>4842</v>
      </c>
      <c r="D13" s="59" t="s">
        <v>3</v>
      </c>
      <c r="E13" s="59">
        <f>'State Allocations'!D15</f>
        <v>271819</v>
      </c>
    </row>
    <row r="14" spans="1:5" ht="12.75">
      <c r="A14" s="100" t="s">
        <v>162</v>
      </c>
      <c r="B14" s="59">
        <f>Tribes!G20</f>
        <v>78379</v>
      </c>
      <c r="D14" s="59" t="s">
        <v>82</v>
      </c>
      <c r="E14" s="59">
        <f>'State Allocations'!D16</f>
        <v>313533</v>
      </c>
    </row>
    <row r="15" spans="1:5" ht="12.75">
      <c r="A15" s="100" t="s">
        <v>163</v>
      </c>
      <c r="B15" s="59">
        <f>Tribes!G21</f>
        <v>3856</v>
      </c>
      <c r="D15" s="59" t="s">
        <v>17</v>
      </c>
      <c r="E15" s="59">
        <f>'State Allocations'!D17</f>
        <v>255805</v>
      </c>
    </row>
    <row r="16" spans="1:5" ht="12.75">
      <c r="A16" s="100" t="s">
        <v>164</v>
      </c>
      <c r="B16" s="59">
        <f>Tribes!G22</f>
        <v>11758</v>
      </c>
      <c r="D16" s="59" t="s">
        <v>18</v>
      </c>
      <c r="E16" s="59">
        <f>'State Allocations'!D18</f>
        <v>855734</v>
      </c>
    </row>
    <row r="17" spans="1:5" ht="12.75">
      <c r="A17" s="100" t="s">
        <v>165</v>
      </c>
      <c r="B17" s="59">
        <f>Tribes!G23</f>
        <v>4669</v>
      </c>
      <c r="D17" s="59" t="s">
        <v>19</v>
      </c>
      <c r="E17" s="59">
        <f>'State Allocations'!D19</f>
        <v>11810</v>
      </c>
    </row>
    <row r="18" spans="1:5" ht="12.75">
      <c r="A18" s="100" t="s">
        <v>166</v>
      </c>
      <c r="B18" s="59">
        <f>Tribes!G24</f>
        <v>398</v>
      </c>
      <c r="D18" s="59" t="s">
        <v>20</v>
      </c>
      <c r="E18" s="59">
        <f>'State Allocations'!D20</f>
        <v>381958</v>
      </c>
    </row>
    <row r="19" spans="1:5" ht="12.75">
      <c r="A19" s="100" t="s">
        <v>167</v>
      </c>
      <c r="B19" s="59">
        <f>Tribes!G25</f>
        <v>43942</v>
      </c>
      <c r="D19" s="59" t="s">
        <v>21</v>
      </c>
      <c r="E19" s="59">
        <f>'State Allocations'!D21</f>
        <v>6560144</v>
      </c>
    </row>
    <row r="20" spans="1:5" ht="12.75">
      <c r="A20" s="100" t="s">
        <v>168</v>
      </c>
      <c r="B20" s="59">
        <f>Tribes!G26</f>
        <v>25073</v>
      </c>
      <c r="D20" s="59" t="s">
        <v>22</v>
      </c>
      <c r="E20" s="59">
        <f>'State Allocations'!D22</f>
        <v>2652306</v>
      </c>
    </row>
    <row r="21" spans="1:5" ht="12.75">
      <c r="A21" s="95"/>
      <c r="B21" s="59">
        <f>IF('[1]Tribes'!G28="","",'[1]Tribes'!G28)</f>
      </c>
      <c r="D21" s="59" t="s">
        <v>23</v>
      </c>
      <c r="E21" s="59">
        <f>'State Allocations'!D23</f>
        <v>2040338</v>
      </c>
    </row>
    <row r="22" spans="1:5" ht="12.75">
      <c r="A22" s="99" t="s">
        <v>13</v>
      </c>
      <c r="B22" s="59">
        <f>IF('[1]Tribes'!G29="","",'[1]Tribes'!G29)</f>
      </c>
      <c r="D22" s="59" t="s">
        <v>24</v>
      </c>
      <c r="E22" s="59">
        <f>'State Allocations'!D24</f>
        <v>922536</v>
      </c>
    </row>
    <row r="23" spans="1:5" ht="12.75">
      <c r="A23" s="100" t="s">
        <v>169</v>
      </c>
      <c r="B23" s="59">
        <f>Tribes!G29</f>
        <v>171</v>
      </c>
      <c r="D23" s="59" t="s">
        <v>25</v>
      </c>
      <c r="E23" s="59">
        <f>'State Allocations'!D25</f>
        <v>972439</v>
      </c>
    </row>
    <row r="24" spans="1:5" ht="12.75">
      <c r="A24" s="100" t="s">
        <v>170</v>
      </c>
      <c r="B24" s="59">
        <f>Tribes!G30</f>
        <v>509</v>
      </c>
      <c r="D24" s="59" t="s">
        <v>26</v>
      </c>
      <c r="E24" s="59">
        <f>'State Allocations'!D26</f>
        <v>661252</v>
      </c>
    </row>
    <row r="25" spans="1:5" ht="12.75">
      <c r="A25" s="100" t="s">
        <v>171</v>
      </c>
      <c r="B25" s="59">
        <f>Tribes!G31</f>
        <v>106</v>
      </c>
      <c r="D25" s="59" t="s">
        <v>4</v>
      </c>
      <c r="E25" s="59">
        <f>'State Allocations'!D27</f>
        <v>1539757</v>
      </c>
    </row>
    <row r="26" spans="1:5" ht="12.75">
      <c r="A26" s="100" t="s">
        <v>172</v>
      </c>
      <c r="B26" s="59">
        <f>Tribes!G32</f>
        <v>1723</v>
      </c>
      <c r="D26" s="59" t="s">
        <v>27</v>
      </c>
      <c r="E26" s="59">
        <f>'State Allocations'!D28</f>
        <v>1512135</v>
      </c>
    </row>
    <row r="27" spans="1:5" ht="12.75">
      <c r="A27" s="100" t="s">
        <v>173</v>
      </c>
      <c r="B27" s="59">
        <f>Tribes!G33</f>
        <v>14624</v>
      </c>
      <c r="D27" s="59" t="s">
        <v>5</v>
      </c>
      <c r="E27" s="59">
        <f>'State Allocations'!D29</f>
        <v>4654644</v>
      </c>
    </row>
    <row r="28" spans="1:5" ht="12.75">
      <c r="A28" s="100" t="s">
        <v>174</v>
      </c>
      <c r="B28" s="59">
        <f>Tribes!G34</f>
        <v>658</v>
      </c>
      <c r="D28" s="59" t="s">
        <v>28</v>
      </c>
      <c r="E28" s="59">
        <f>'State Allocations'!D30</f>
        <v>6649592</v>
      </c>
    </row>
    <row r="29" spans="1:5" ht="12.75">
      <c r="A29" s="100" t="s">
        <v>175</v>
      </c>
      <c r="B29" s="59">
        <f>Tribes!G35</f>
        <v>37</v>
      </c>
      <c r="D29" s="59" t="s">
        <v>29</v>
      </c>
      <c r="E29" s="59">
        <f>'State Allocations'!D31</f>
        <v>4241251</v>
      </c>
    </row>
    <row r="30" spans="1:5" ht="12.75">
      <c r="A30" s="100" t="s">
        <v>176</v>
      </c>
      <c r="B30" s="59">
        <f>Tribes!G36</f>
        <v>636</v>
      </c>
      <c r="D30" s="59" t="s">
        <v>30</v>
      </c>
      <c r="E30" s="59">
        <f>'State Allocations'!D32</f>
        <v>622027</v>
      </c>
    </row>
    <row r="31" spans="1:5" ht="12.75">
      <c r="A31" s="100" t="s">
        <v>177</v>
      </c>
      <c r="B31" s="59">
        <f>Tribes!G37</f>
        <v>1049</v>
      </c>
      <c r="D31" s="59" t="s">
        <v>31</v>
      </c>
      <c r="E31" s="59">
        <f>'State Allocations'!D33</f>
        <v>2183857</v>
      </c>
    </row>
    <row r="32" spans="1:5" ht="12.75">
      <c r="A32" s="100" t="s">
        <v>178</v>
      </c>
      <c r="B32" s="59">
        <f>Tribes!G38</f>
        <v>1498</v>
      </c>
      <c r="D32" s="59" t="s">
        <v>32</v>
      </c>
      <c r="E32" s="59">
        <f>'State Allocations'!D34</f>
        <v>594969</v>
      </c>
    </row>
    <row r="33" spans="1:5" ht="12.75">
      <c r="A33" s="100"/>
      <c r="B33" s="59">
        <f>IF('[1]Tribes'!G40="","",'[1]Tribes'!G40)</f>
      </c>
      <c r="D33" s="59" t="s">
        <v>33</v>
      </c>
      <c r="E33" s="59">
        <f>'State Allocations'!D35</f>
        <v>980066</v>
      </c>
    </row>
    <row r="34" spans="1:5" ht="12.75">
      <c r="A34" s="99" t="s">
        <v>15</v>
      </c>
      <c r="B34" s="59">
        <f>IF('[1]Tribes'!G48="","",'[1]Tribes'!G48)</f>
      </c>
      <c r="D34" s="59" t="s">
        <v>34</v>
      </c>
      <c r="E34" s="59">
        <f>'State Allocations'!D36</f>
        <v>134993</v>
      </c>
    </row>
    <row r="35" spans="1:5" ht="12.75">
      <c r="A35" s="100" t="s">
        <v>179</v>
      </c>
      <c r="B35" s="59">
        <f>Tribes!G46</f>
        <v>348</v>
      </c>
      <c r="D35" s="59" t="s">
        <v>6</v>
      </c>
      <c r="E35" s="59">
        <f>'State Allocations'!D37</f>
        <v>913159</v>
      </c>
    </row>
    <row r="36" spans="1:5" ht="12.75">
      <c r="A36" s="100" t="s">
        <v>180</v>
      </c>
      <c r="B36" s="59">
        <f>Tribes!G47</f>
        <v>64</v>
      </c>
      <c r="D36" s="59" t="s">
        <v>7</v>
      </c>
      <c r="E36" s="59">
        <f>'State Allocations'!D38</f>
        <v>4517555</v>
      </c>
    </row>
    <row r="37" spans="1:5" ht="12.75">
      <c r="A37" s="100" t="s">
        <v>181</v>
      </c>
      <c r="B37" s="59">
        <f>Tribes!G48</f>
        <v>289</v>
      </c>
      <c r="D37" s="59" t="s">
        <v>35</v>
      </c>
      <c r="E37" s="59">
        <f>'State Allocations'!D39</f>
        <v>523567</v>
      </c>
    </row>
    <row r="38" spans="1:5" ht="12.75">
      <c r="A38" s="100" t="s">
        <v>182</v>
      </c>
      <c r="B38" s="59">
        <f>Tribes!G49</f>
        <v>134</v>
      </c>
      <c r="D38" s="59" t="s">
        <v>8</v>
      </c>
      <c r="E38" s="59">
        <f>'State Allocations'!D40</f>
        <v>14983956</v>
      </c>
    </row>
    <row r="39" spans="1:5" ht="12.75">
      <c r="A39" s="100" t="s">
        <v>183</v>
      </c>
      <c r="B39" s="59">
        <f>Tribes!G50</f>
        <v>2398</v>
      </c>
      <c r="D39" s="59" t="s">
        <v>36</v>
      </c>
      <c r="E39" s="59">
        <f>'State Allocations'!D41</f>
        <v>1252535</v>
      </c>
    </row>
    <row r="40" spans="1:5" ht="12.75">
      <c r="A40" s="100" t="s">
        <v>184</v>
      </c>
      <c r="B40" s="59">
        <f>Tribes!G51</f>
        <v>364</v>
      </c>
      <c r="D40" s="59" t="s">
        <v>37</v>
      </c>
      <c r="E40" s="59">
        <f>'State Allocations'!D42</f>
        <v>535121</v>
      </c>
    </row>
    <row r="41" spans="1:5" ht="12.75">
      <c r="A41" s="100" t="s">
        <v>185</v>
      </c>
      <c r="B41" s="59">
        <f>Tribes!G52</f>
        <v>3688</v>
      </c>
      <c r="D41" s="59" t="s">
        <v>38</v>
      </c>
      <c r="E41" s="59">
        <f>'State Allocations'!D43</f>
        <v>5435524</v>
      </c>
    </row>
    <row r="42" spans="1:5" ht="12.75">
      <c r="A42" s="100" t="s">
        <v>186</v>
      </c>
      <c r="B42" s="59">
        <f>Tribes!G53</f>
        <v>1740</v>
      </c>
      <c r="D42" s="59" t="s">
        <v>39</v>
      </c>
      <c r="E42" s="59">
        <f>'State Allocations'!D44</f>
        <v>693302</v>
      </c>
    </row>
    <row r="43" spans="1:5" ht="12.75">
      <c r="A43" s="100" t="s">
        <v>187</v>
      </c>
      <c r="B43" s="59">
        <f>Tribes!G54</f>
        <v>993</v>
      </c>
      <c r="D43" s="59" t="s">
        <v>40</v>
      </c>
      <c r="E43" s="59">
        <f>'State Allocations'!D45</f>
        <v>515592</v>
      </c>
    </row>
    <row r="44" spans="1:5" ht="12.75">
      <c r="A44" s="100" t="s">
        <v>188</v>
      </c>
      <c r="B44" s="59">
        <f>Tribes!G55</f>
        <v>8648</v>
      </c>
      <c r="D44" s="59" t="s">
        <v>9</v>
      </c>
      <c r="E44" s="59">
        <f>'State Allocations'!D46</f>
        <v>7652908</v>
      </c>
    </row>
    <row r="45" spans="1:5" ht="12.75">
      <c r="A45" s="100" t="s">
        <v>189</v>
      </c>
      <c r="B45" s="59">
        <f>Tribes!G56</f>
        <v>444</v>
      </c>
      <c r="D45" s="59" t="s">
        <v>10</v>
      </c>
      <c r="E45" s="59">
        <f>'State Allocations'!D47</f>
        <v>841654</v>
      </c>
    </row>
    <row r="46" spans="1:5" ht="12.75">
      <c r="A46" s="100" t="s">
        <v>190</v>
      </c>
      <c r="B46" s="59">
        <f>Tribes!G57</f>
        <v>2085</v>
      </c>
      <c r="D46" s="59" t="s">
        <v>41</v>
      </c>
      <c r="E46" s="59">
        <f>'State Allocations'!D48</f>
        <v>412083</v>
      </c>
    </row>
    <row r="47" spans="1:5" ht="12.75">
      <c r="A47" s="100" t="s">
        <v>191</v>
      </c>
      <c r="B47" s="59">
        <f>Tribes!G58</f>
        <v>209</v>
      </c>
      <c r="D47" s="59" t="s">
        <v>42</v>
      </c>
      <c r="E47" s="59">
        <f>'State Allocations'!D49</f>
        <v>517279</v>
      </c>
    </row>
    <row r="48" spans="1:5" ht="12.75">
      <c r="A48" s="100" t="s">
        <v>192</v>
      </c>
      <c r="B48" s="59">
        <f>Tribes!G59</f>
        <v>1004</v>
      </c>
      <c r="D48" s="59" t="s">
        <v>43</v>
      </c>
      <c r="E48" s="59">
        <f>'State Allocations'!D50</f>
        <v>776212</v>
      </c>
    </row>
    <row r="49" spans="1:5" ht="12.75">
      <c r="A49" s="100" t="s">
        <v>193</v>
      </c>
      <c r="B49" s="59">
        <f>Tribes!G60</f>
        <v>2575</v>
      </c>
      <c r="D49" s="59" t="s">
        <v>44</v>
      </c>
      <c r="E49" s="59">
        <f>'State Allocations'!D51</f>
        <v>1584092</v>
      </c>
    </row>
    <row r="50" spans="1:5" ht="12.75">
      <c r="A50" s="100" t="s">
        <v>194</v>
      </c>
      <c r="B50" s="59">
        <f>Tribes!G61</f>
        <v>118</v>
      </c>
      <c r="D50" s="59" t="s">
        <v>45</v>
      </c>
      <c r="E50" s="59">
        <f>'State Allocations'!D52</f>
        <v>833789</v>
      </c>
    </row>
    <row r="51" spans="1:5" ht="12.75">
      <c r="A51" s="100" t="s">
        <v>195</v>
      </c>
      <c r="B51" s="59">
        <f>Tribes!G62</f>
        <v>2393</v>
      </c>
      <c r="D51" s="59" t="s">
        <v>11</v>
      </c>
      <c r="E51" s="59">
        <f>'State Allocations'!D53</f>
        <v>680219</v>
      </c>
    </row>
    <row r="52" spans="1:5" ht="12.75">
      <c r="A52" s="100" t="s">
        <v>196</v>
      </c>
      <c r="B52" s="59">
        <f>Tribes!G63</f>
        <v>1539</v>
      </c>
      <c r="D52" s="59" t="s">
        <v>46</v>
      </c>
      <c r="E52" s="59">
        <f>'State Allocations'!D54</f>
        <v>1346258</v>
      </c>
    </row>
    <row r="53" spans="1:5" ht="12.75">
      <c r="A53" s="100" t="s">
        <v>197</v>
      </c>
      <c r="B53" s="59">
        <f>Tribes!G64</f>
        <v>391</v>
      </c>
      <c r="D53" s="59" t="s">
        <v>47</v>
      </c>
      <c r="E53" s="59">
        <f>'State Allocations'!D55</f>
        <v>745059</v>
      </c>
    </row>
    <row r="54" spans="1:5" ht="12.75">
      <c r="A54" s="66" t="s">
        <v>198</v>
      </c>
      <c r="B54" s="59">
        <f>Tribes!G65</f>
        <v>177</v>
      </c>
      <c r="D54" s="59" t="s">
        <v>48</v>
      </c>
      <c r="E54" s="59">
        <f>'State Allocations'!D56</f>
        <v>725040</v>
      </c>
    </row>
    <row r="55" spans="1:5" ht="12.75">
      <c r="A55" s="100" t="s">
        <v>199</v>
      </c>
      <c r="B55" s="59">
        <f>Tribes!G66</f>
        <v>177</v>
      </c>
      <c r="D55" s="59" t="s">
        <v>49</v>
      </c>
      <c r="E55" s="59">
        <f>'State Allocations'!D57</f>
        <v>3874797</v>
      </c>
    </row>
    <row r="56" spans="1:5" ht="13.5" thickBot="1">
      <c r="A56" s="100" t="s">
        <v>200</v>
      </c>
      <c r="B56" s="59">
        <f>Tribes!G67</f>
        <v>270</v>
      </c>
      <c r="D56" s="59" t="s">
        <v>50</v>
      </c>
      <c r="E56" s="59">
        <f>'State Allocations'!D58</f>
        <v>290808</v>
      </c>
    </row>
    <row r="57" spans="1:5" ht="26.25" thickTop="1">
      <c r="A57" s="100" t="s">
        <v>201</v>
      </c>
      <c r="B57" s="59">
        <f>Tribes!G68</f>
        <v>227</v>
      </c>
      <c r="D57" s="101" t="s">
        <v>323</v>
      </c>
      <c r="E57" s="102">
        <f>SUM(E6:E56)</f>
        <v>98910414</v>
      </c>
    </row>
    <row r="58" spans="1:2" ht="12.75">
      <c r="A58" s="100" t="s">
        <v>202</v>
      </c>
      <c r="B58" s="59">
        <f>Tribes!G69</f>
        <v>3121</v>
      </c>
    </row>
    <row r="59" spans="1:2" ht="12.75">
      <c r="A59" s="100"/>
      <c r="B59" s="59">
        <f>IF('[1]Tribes'!G73="","",'[1]Tribes'!G73)</f>
      </c>
    </row>
    <row r="60" spans="1:2" ht="12.75">
      <c r="A60" s="99" t="s">
        <v>16</v>
      </c>
      <c r="B60" s="59">
        <f>IF('[1]Tribes'!G74="","",'[1]Tribes'!G74)</f>
      </c>
    </row>
    <row r="61" spans="1:2" ht="12.75">
      <c r="A61" s="95" t="s">
        <v>203</v>
      </c>
      <c r="B61" s="59">
        <f>Tribes!G72</f>
        <v>1336</v>
      </c>
    </row>
    <row r="62" spans="1:2" ht="12.75">
      <c r="A62" s="100"/>
      <c r="B62" s="59">
        <f>IF('[1]Tribes'!G76="","",'[1]Tribes'!G76)</f>
      </c>
    </row>
    <row r="63" spans="1:2" ht="12.75">
      <c r="A63" s="99" t="s">
        <v>17</v>
      </c>
      <c r="B63" s="59">
        <f>IF('[1]Tribes'!G77="","",'[1]Tribes'!G77)</f>
      </c>
    </row>
    <row r="64" spans="1:2" ht="12.75">
      <c r="A64" s="100" t="s">
        <v>205</v>
      </c>
      <c r="B64" s="59">
        <f>Tribes!G75</f>
        <v>66</v>
      </c>
    </row>
    <row r="65" spans="1:2" ht="12.75">
      <c r="A65" s="95"/>
      <c r="B65" s="59">
        <f>IF('[1]Tribes'!G79="","",'[1]Tribes'!G79)</f>
      </c>
    </row>
    <row r="66" spans="1:2" ht="12.75">
      <c r="A66" s="99" t="s">
        <v>20</v>
      </c>
      <c r="B66" s="59">
        <f>IF('[1]Tribes'!G80="","",'[1]Tribes'!G80)</f>
      </c>
    </row>
    <row r="67" spans="1:2" ht="12.75">
      <c r="A67" s="100" t="s">
        <v>206</v>
      </c>
      <c r="B67" s="59">
        <f>Tribes!G78</f>
        <v>1214</v>
      </c>
    </row>
    <row r="68" spans="1:2" ht="12.75">
      <c r="A68" s="100" t="s">
        <v>208</v>
      </c>
      <c r="B68" s="59">
        <f>Tribes!G79</f>
        <v>2810</v>
      </c>
    </row>
    <row r="69" spans="1:2" ht="12.75">
      <c r="A69" s="100" t="s">
        <v>209</v>
      </c>
      <c r="B69" s="59">
        <f>Tribes!G80</f>
        <v>15455</v>
      </c>
    </row>
    <row r="70" spans="1:2" ht="12.75">
      <c r="A70" s="95"/>
      <c r="B70" s="59">
        <f>IF('[1]Tribes'!G84="","",'[1]Tribes'!G84)</f>
      </c>
    </row>
    <row r="71" spans="1:2" ht="12.75">
      <c r="A71" s="99" t="s">
        <v>22</v>
      </c>
      <c r="B71" s="59">
        <f>IF('[1]Tribes'!G85="","",'[1]Tribes'!G85)</f>
      </c>
    </row>
    <row r="72" spans="1:2" ht="12.75">
      <c r="A72" s="100" t="s">
        <v>210</v>
      </c>
      <c r="B72" s="59">
        <f>Tribes!G83</f>
        <v>345</v>
      </c>
    </row>
    <row r="73" spans="1:2" ht="12.75">
      <c r="A73" s="95"/>
      <c r="B73" s="59">
        <f>IF('[1]Tribes'!G87="","",'[1]Tribes'!G87)</f>
      </c>
    </row>
    <row r="74" spans="1:2" ht="12.75">
      <c r="A74" s="99" t="s">
        <v>24</v>
      </c>
      <c r="B74" s="59">
        <f>IF('[1]Tribes'!G94="","",'[1]Tribes'!G94)</f>
      </c>
    </row>
    <row r="75" spans="1:2" ht="25.5">
      <c r="A75" s="100" t="s">
        <v>211</v>
      </c>
      <c r="B75" s="59">
        <f>Tribes!G86</f>
        <v>687</v>
      </c>
    </row>
    <row r="76" spans="1:2" ht="12.75">
      <c r="A76" s="95"/>
      <c r="B76" s="59">
        <f>IF('[1]Tribes'!G96="","",'[1]Tribes'!G96)</f>
      </c>
    </row>
    <row r="77" spans="1:2" ht="12.75">
      <c r="A77" s="99" t="s">
        <v>4</v>
      </c>
      <c r="B77" s="59">
        <f>IF('[1]Tribes'!G97="","",'[1]Tribes'!G97)</f>
      </c>
    </row>
    <row r="78" spans="1:2" ht="12.75">
      <c r="A78" s="100" t="s">
        <v>212</v>
      </c>
      <c r="B78" s="59">
        <f>Tribes!G89</f>
        <v>6952</v>
      </c>
    </row>
    <row r="79" spans="1:2" ht="12.75">
      <c r="A79" s="100" t="s">
        <v>213</v>
      </c>
      <c r="B79" s="59">
        <f>Tribes!G90</f>
        <v>6952</v>
      </c>
    </row>
    <row r="80" spans="1:2" ht="12.75">
      <c r="A80" s="100" t="s">
        <v>214</v>
      </c>
      <c r="B80" s="59">
        <f>Tribes!G91</f>
        <v>13265</v>
      </c>
    </row>
    <row r="81" spans="1:2" ht="12.75">
      <c r="A81" s="100" t="s">
        <v>215</v>
      </c>
      <c r="B81" s="59">
        <f>Tribes!G92</f>
        <v>18507</v>
      </c>
    </row>
    <row r="82" spans="1:2" ht="12.75">
      <c r="A82" s="100" t="s">
        <v>216</v>
      </c>
      <c r="B82" s="59">
        <f>Tribes!G93</f>
        <v>12737</v>
      </c>
    </row>
    <row r="83" spans="1:2" ht="12.75">
      <c r="A83" s="95"/>
      <c r="B83" s="59">
        <f>IF('[1]Tribes'!G103="","",'[1]Tribes'!G103)</f>
      </c>
    </row>
    <row r="84" spans="1:2" ht="12.75">
      <c r="A84" s="99" t="s">
        <v>5</v>
      </c>
      <c r="B84" s="59">
        <f>IF('[1]Tribes'!G104="","",'[1]Tribes'!G104)</f>
      </c>
    </row>
    <row r="85" spans="1:2" ht="12.75">
      <c r="A85" s="100" t="s">
        <v>217</v>
      </c>
      <c r="B85" s="59">
        <f>Tribes!G99</f>
        <v>1863</v>
      </c>
    </row>
    <row r="86" spans="1:2" ht="12.75">
      <c r="A86" s="95"/>
      <c r="B86" s="59">
        <f>IF('[1]Tribes'!G106="","",'[1]Tribes'!G106)</f>
      </c>
    </row>
    <row r="87" spans="1:2" ht="12.75">
      <c r="A87" s="99" t="s">
        <v>28</v>
      </c>
      <c r="B87" s="59">
        <f>IF('[1]Tribes'!G107="","",'[1]Tribes'!G107)</f>
      </c>
    </row>
    <row r="88" spans="1:2" ht="12.75">
      <c r="A88" s="100" t="s">
        <v>218</v>
      </c>
      <c r="B88" s="59">
        <f>Tribes!G102</f>
        <v>2619</v>
      </c>
    </row>
    <row r="89" spans="1:2" ht="12.75">
      <c r="A89" s="100" t="s">
        <v>219</v>
      </c>
      <c r="B89" s="59">
        <f>Tribes!G103</f>
        <v>8983</v>
      </c>
    </row>
    <row r="90" spans="1:2" ht="12.75">
      <c r="A90" s="65" t="s">
        <v>220</v>
      </c>
      <c r="B90" s="59">
        <f>Tribes!G104</f>
        <v>6911</v>
      </c>
    </row>
    <row r="91" spans="1:2" ht="12.75">
      <c r="A91" s="100" t="s">
        <v>221</v>
      </c>
      <c r="B91" s="59">
        <f>Tribes!G105</f>
        <v>1267</v>
      </c>
    </row>
    <row r="92" spans="1:2" ht="12.75">
      <c r="A92" s="100" t="s">
        <v>222</v>
      </c>
      <c r="B92" s="59">
        <f>Tribes!G106</f>
        <v>4339</v>
      </c>
    </row>
    <row r="93" spans="1:2" ht="12.75">
      <c r="A93" s="100" t="s">
        <v>223</v>
      </c>
      <c r="B93" s="59">
        <f>Tribes!G107</f>
        <v>21793</v>
      </c>
    </row>
    <row r="94" spans="1:2" ht="12.75">
      <c r="A94" s="95"/>
      <c r="B94" s="59">
        <f>IF('[1]Tribes'!G114="","",'[1]Tribes'!G114)</f>
      </c>
    </row>
    <row r="95" spans="1:2" ht="12.75">
      <c r="A95" s="99" t="s">
        <v>30</v>
      </c>
      <c r="B95" s="59">
        <f>IF('[1]Tribes'!G115="","",'[1]Tribes'!G115)</f>
      </c>
    </row>
    <row r="96" spans="1:2" ht="12.75">
      <c r="A96" s="100" t="s">
        <v>224</v>
      </c>
      <c r="B96" s="59">
        <f>Tribes!G110</f>
        <v>1181</v>
      </c>
    </row>
    <row r="97" spans="1:2" ht="12.75">
      <c r="A97" s="95"/>
      <c r="B97" s="59">
        <f>IF('[1]Tribes'!G117="","",'[1]Tribes'!G117)</f>
      </c>
    </row>
    <row r="98" spans="1:2" ht="12.75">
      <c r="A98" s="99" t="s">
        <v>32</v>
      </c>
      <c r="B98" s="59">
        <f>IF('[1]Tribes'!G118="","",'[1]Tribes'!G118)</f>
      </c>
    </row>
    <row r="99" spans="1:2" ht="12.75">
      <c r="A99" s="100" t="s">
        <v>225</v>
      </c>
      <c r="B99" s="59">
        <f>Tribes!G113</f>
        <v>20779</v>
      </c>
    </row>
    <row r="100" spans="1:2" ht="12.75">
      <c r="A100" s="100" t="s">
        <v>226</v>
      </c>
      <c r="B100" s="59">
        <f>Tribes!G114</f>
        <v>33595</v>
      </c>
    </row>
    <row r="101" spans="1:2" ht="12.75">
      <c r="A101" s="100" t="s">
        <v>227</v>
      </c>
      <c r="B101" s="59">
        <f>Tribes!G115</f>
        <v>9593</v>
      </c>
    </row>
    <row r="102" spans="1:2" ht="12.75">
      <c r="A102" s="100" t="s">
        <v>228</v>
      </c>
      <c r="B102" s="59">
        <f>Tribes!G116</f>
        <v>19261</v>
      </c>
    </row>
    <row r="103" spans="1:2" ht="12.75">
      <c r="A103" s="100" t="s">
        <v>229</v>
      </c>
      <c r="B103" s="59">
        <f>Tribes!G117</f>
        <v>10235</v>
      </c>
    </row>
    <row r="104" spans="1:2" ht="12.75">
      <c r="A104" s="100" t="s">
        <v>230</v>
      </c>
      <c r="B104" s="59">
        <f>Tribes!G118</f>
        <v>12692</v>
      </c>
    </row>
    <row r="105" spans="1:2" ht="12.75">
      <c r="A105" s="100"/>
      <c r="B105" s="59">
        <f>IF('[1]Tribes'!G125="","",'[1]Tribes'!G125)</f>
      </c>
    </row>
    <row r="106" spans="1:2" ht="12.75">
      <c r="A106" s="99" t="s">
        <v>33</v>
      </c>
      <c r="B106" s="59">
        <f>IF('[1]Tribes'!G126="","",'[1]Tribes'!G126)</f>
      </c>
    </row>
    <row r="107" spans="1:2" ht="25.5">
      <c r="A107" s="100" t="s">
        <v>231</v>
      </c>
      <c r="B107" s="59">
        <f>Tribes!G121</f>
        <v>196</v>
      </c>
    </row>
    <row r="108" spans="1:2" ht="12.75">
      <c r="A108" s="95"/>
      <c r="B108" s="59">
        <f>IF('[1]Tribes'!G128="","",'[1]Tribes'!G128)</f>
      </c>
    </row>
    <row r="109" spans="1:2" ht="12.75">
      <c r="A109" s="99" t="s">
        <v>7</v>
      </c>
      <c r="B109" s="59">
        <f>IF('[1]Tribes'!G129="","",'[1]Tribes'!G129)</f>
      </c>
    </row>
    <row r="110" spans="1:2" ht="12.75">
      <c r="A110" s="100" t="s">
        <v>232</v>
      </c>
      <c r="B110" s="59">
        <f>Tribes!G124</f>
        <v>11323</v>
      </c>
    </row>
    <row r="111" spans="1:2" ht="12.75">
      <c r="A111" s="95"/>
      <c r="B111" s="59">
        <f>IF('[1]Tribes'!G141="","",'[1]Tribes'!G141)</f>
      </c>
    </row>
    <row r="112" spans="1:2" ht="12.75">
      <c r="A112" s="99" t="s">
        <v>35</v>
      </c>
      <c r="B112" s="59">
        <f>IF('[1]Tribes'!G142="","",'[1]Tribes'!G142)</f>
      </c>
    </row>
    <row r="113" spans="1:2" ht="12.75">
      <c r="A113" s="100" t="s">
        <v>233</v>
      </c>
      <c r="B113" s="59">
        <f>Tribes!G127</f>
        <v>957</v>
      </c>
    </row>
    <row r="114" spans="1:2" ht="12.75">
      <c r="A114" s="100" t="s">
        <v>234</v>
      </c>
      <c r="B114" s="59">
        <f>Tribes!G128</f>
        <v>953</v>
      </c>
    </row>
    <row r="115" spans="1:2" ht="12.75">
      <c r="A115" s="100" t="s">
        <v>235</v>
      </c>
      <c r="B115" s="59">
        <f>Tribes!G129</f>
        <v>36294</v>
      </c>
    </row>
    <row r="116" spans="1:2" ht="12.75">
      <c r="A116" s="65" t="s">
        <v>236</v>
      </c>
      <c r="B116" s="59">
        <f>Tribes!G130</f>
        <v>730</v>
      </c>
    </row>
    <row r="117" spans="1:2" ht="12.75">
      <c r="A117" s="100" t="s">
        <v>237</v>
      </c>
      <c r="B117" s="59">
        <f>Tribes!G131</f>
        <v>3476</v>
      </c>
    </row>
    <row r="118" spans="1:2" ht="12.75">
      <c r="A118" s="95"/>
      <c r="B118" s="59">
        <f>IF('[1]Tribes'!G136="","",'[1]Tribes'!G136)</f>
      </c>
    </row>
    <row r="119" spans="1:2" ht="12.75">
      <c r="A119" s="99" t="s">
        <v>8</v>
      </c>
      <c r="B119" s="59">
        <f>IF('[1]Tribes'!G149="","",'[1]Tribes'!G149)</f>
      </c>
    </row>
    <row r="120" spans="1:2" ht="12.75">
      <c r="A120" s="100" t="s">
        <v>238</v>
      </c>
      <c r="B120" s="59">
        <f>Tribes!G134</f>
        <v>5055</v>
      </c>
    </row>
    <row r="121" spans="1:2" ht="12.75">
      <c r="A121" s="100" t="s">
        <v>239</v>
      </c>
      <c r="B121" s="59">
        <f>Tribes!G135</f>
        <v>2930</v>
      </c>
    </row>
    <row r="122" spans="1:2" ht="12.75">
      <c r="A122" s="95"/>
      <c r="B122" s="59">
        <f>IF('[1]Tribes'!G152="","",'[1]Tribes'!G152)</f>
      </c>
    </row>
    <row r="123" spans="1:2" ht="12.75">
      <c r="A123" s="99" t="s">
        <v>36</v>
      </c>
      <c r="B123" s="59">
        <f>IF('[1]Tribes'!G153="","",'[1]Tribes'!G153)</f>
      </c>
    </row>
    <row r="124" spans="1:2" ht="12.75">
      <c r="A124" s="100" t="s">
        <v>240</v>
      </c>
      <c r="B124" s="59">
        <f>Tribes!G138</f>
        <v>22679</v>
      </c>
    </row>
    <row r="125" spans="1:2" ht="12.75">
      <c r="A125" s="95"/>
      <c r="B125" s="59">
        <f>IF('[1]Tribes'!G155="","",'[1]Tribes'!G155)</f>
      </c>
    </row>
    <row r="126" spans="1:2" ht="12.75">
      <c r="A126" s="99" t="s">
        <v>37</v>
      </c>
      <c r="B126" s="59">
        <f>IF('[1]Tribes'!G156="","",'[1]Tribes'!G156)</f>
      </c>
    </row>
    <row r="127" spans="1:2" ht="12.75">
      <c r="A127" s="100" t="s">
        <v>241</v>
      </c>
      <c r="B127" s="59">
        <f>Tribes!G141</f>
        <v>30837</v>
      </c>
    </row>
    <row r="128" spans="1:2" ht="12.75">
      <c r="A128" s="100" t="s">
        <v>242</v>
      </c>
      <c r="B128" s="59">
        <f>Tribes!G142</f>
        <v>26725</v>
      </c>
    </row>
    <row r="129" spans="1:2" ht="12.75">
      <c r="A129" s="100" t="s">
        <v>243</v>
      </c>
      <c r="B129" s="59">
        <f>Tribes!G143</f>
        <v>26725</v>
      </c>
    </row>
    <row r="130" spans="1:2" ht="12.75">
      <c r="A130" s="100" t="s">
        <v>244</v>
      </c>
      <c r="B130" s="59">
        <f>Tribes!G144</f>
        <v>65854</v>
      </c>
    </row>
    <row r="131" spans="1:2" ht="12.75">
      <c r="A131" s="95"/>
      <c r="B131" s="59">
        <f>IF('[1]Tribes'!G166="","",'[1]Tribes'!G166)</f>
      </c>
    </row>
    <row r="132" spans="1:2" ht="12.75">
      <c r="A132" s="99" t="s">
        <v>39</v>
      </c>
      <c r="B132" s="59">
        <f>IF('[1]Tribes'!G167="","",'[1]Tribes'!G167)</f>
      </c>
    </row>
    <row r="133" spans="1:2" ht="12.75">
      <c r="A133" s="100" t="s">
        <v>245</v>
      </c>
      <c r="B133" s="59">
        <f>Tribes!G150</f>
        <v>444</v>
      </c>
    </row>
    <row r="134" spans="1:2" ht="12.75">
      <c r="A134" s="100" t="s">
        <v>246</v>
      </c>
      <c r="B134" s="59">
        <f>Tribes!G151</f>
        <v>285</v>
      </c>
    </row>
    <row r="135" spans="1:2" ht="12.75">
      <c r="A135" s="100" t="s">
        <v>247</v>
      </c>
      <c r="B135" s="59">
        <f>Tribes!G152</f>
        <v>383</v>
      </c>
    </row>
    <row r="136" spans="1:2" ht="12.75">
      <c r="A136" s="100" t="s">
        <v>248</v>
      </c>
      <c r="B136" s="59">
        <f>Tribes!G153</f>
        <v>447</v>
      </c>
    </row>
    <row r="137" spans="1:2" ht="12.75">
      <c r="A137" s="100" t="s">
        <v>249</v>
      </c>
      <c r="B137" s="59">
        <f>Tribes!G154</f>
        <v>27613</v>
      </c>
    </row>
    <row r="138" spans="1:2" ht="12.75">
      <c r="A138" s="100" t="s">
        <v>250</v>
      </c>
      <c r="B138" s="59">
        <f>Tribes!G155</f>
        <v>1447</v>
      </c>
    </row>
    <row r="139" spans="1:2" ht="12.75">
      <c r="A139" s="100" t="s">
        <v>251</v>
      </c>
      <c r="B139" s="59">
        <f>Tribes!G156</f>
        <v>3718</v>
      </c>
    </row>
    <row r="140" spans="1:2" ht="12.75">
      <c r="A140" s="100" t="s">
        <v>252</v>
      </c>
      <c r="B140" s="59">
        <f>Tribes!G157</f>
        <v>10437</v>
      </c>
    </row>
    <row r="141" spans="1:2" ht="12.75">
      <c r="A141" s="100" t="s">
        <v>253</v>
      </c>
      <c r="B141" s="59">
        <f>Tribes!G158</f>
        <v>583</v>
      </c>
    </row>
    <row r="142" spans="1:2" ht="12.75">
      <c r="A142" s="100" t="s">
        <v>254</v>
      </c>
      <c r="B142" s="59">
        <f>Tribes!G159</f>
        <v>1666</v>
      </c>
    </row>
    <row r="143" spans="1:2" ht="12.75">
      <c r="A143" s="100" t="s">
        <v>255</v>
      </c>
      <c r="B143" s="59">
        <f>Tribes!G160</f>
        <v>198</v>
      </c>
    </row>
    <row r="144" spans="1:2" ht="12.75">
      <c r="A144" s="100" t="s">
        <v>256</v>
      </c>
      <c r="B144" s="59">
        <f>Tribes!G161</f>
        <v>198</v>
      </c>
    </row>
    <row r="145" spans="1:2" ht="12.75">
      <c r="A145" s="100" t="s">
        <v>257</v>
      </c>
      <c r="B145" s="59">
        <f>Tribes!G162</f>
        <v>387</v>
      </c>
    </row>
    <row r="146" spans="1:2" ht="12.75">
      <c r="A146" s="100" t="s">
        <v>258</v>
      </c>
      <c r="B146" s="59">
        <f>Tribes!G163</f>
        <v>1395</v>
      </c>
    </row>
    <row r="147" spans="1:2" ht="12.75">
      <c r="A147" s="100" t="s">
        <v>259</v>
      </c>
      <c r="B147" s="59">
        <f>Tribes!G164</f>
        <v>228</v>
      </c>
    </row>
    <row r="148" spans="1:2" ht="12.75">
      <c r="A148" s="100" t="s">
        <v>260</v>
      </c>
      <c r="B148" s="59">
        <f>Tribes!G165</f>
        <v>198</v>
      </c>
    </row>
    <row r="149" spans="1:2" ht="12.75">
      <c r="A149" s="100" t="s">
        <v>261</v>
      </c>
      <c r="B149" s="59">
        <f>Tribes!G166</f>
        <v>6966</v>
      </c>
    </row>
    <row r="150" spans="1:2" ht="12.75">
      <c r="A150" s="100" t="s">
        <v>262</v>
      </c>
      <c r="B150" s="59">
        <f>Tribes!G167</f>
        <v>2639</v>
      </c>
    </row>
    <row r="151" spans="1:2" ht="12.75">
      <c r="A151" s="100" t="s">
        <v>263</v>
      </c>
      <c r="B151" s="59">
        <f>Tribes!G168</f>
        <v>210</v>
      </c>
    </row>
    <row r="152" spans="1:2" ht="12.75">
      <c r="A152" s="100" t="s">
        <v>264</v>
      </c>
      <c r="B152" s="59">
        <f>Tribes!G169</f>
        <v>198</v>
      </c>
    </row>
    <row r="153" spans="1:2" ht="12.75">
      <c r="A153" s="100" t="s">
        <v>265</v>
      </c>
      <c r="B153" s="59">
        <f>Tribes!G170</f>
        <v>237</v>
      </c>
    </row>
    <row r="154" spans="1:2" ht="12.75">
      <c r="A154" s="100" t="s">
        <v>266</v>
      </c>
      <c r="B154" s="59">
        <f>Tribes!G171</f>
        <v>513</v>
      </c>
    </row>
    <row r="155" spans="1:2" ht="12.75">
      <c r="A155" s="100" t="s">
        <v>267</v>
      </c>
      <c r="B155" s="59">
        <f>Tribes!G172</f>
        <v>561</v>
      </c>
    </row>
    <row r="156" spans="1:2" ht="12.75">
      <c r="A156" s="100" t="s">
        <v>268</v>
      </c>
      <c r="B156" s="59">
        <f>Tribes!G173</f>
        <v>491</v>
      </c>
    </row>
    <row r="157" spans="1:2" ht="12.75">
      <c r="A157" s="100" t="s">
        <v>269</v>
      </c>
      <c r="B157" s="59">
        <f>Tribes!G174</f>
        <v>1381</v>
      </c>
    </row>
    <row r="158" spans="1:2" ht="12.75">
      <c r="A158" s="100" t="s">
        <v>270</v>
      </c>
      <c r="B158" s="59">
        <f>Tribes!G175</f>
        <v>271</v>
      </c>
    </row>
    <row r="159" spans="1:2" ht="12.75">
      <c r="A159" s="100" t="s">
        <v>271</v>
      </c>
      <c r="B159" s="59">
        <f>Tribes!G176</f>
        <v>198</v>
      </c>
    </row>
    <row r="160" spans="1:2" ht="12.75">
      <c r="A160" s="100" t="s">
        <v>272</v>
      </c>
      <c r="B160" s="59">
        <f>Tribes!G177</f>
        <v>198</v>
      </c>
    </row>
    <row r="161" spans="1:2" ht="12.75">
      <c r="A161" s="100" t="s">
        <v>273</v>
      </c>
      <c r="B161" s="59">
        <f>Tribes!G178</f>
        <v>5925</v>
      </c>
    </row>
    <row r="162" spans="1:2" ht="12.75">
      <c r="A162" s="100" t="s">
        <v>274</v>
      </c>
      <c r="B162" s="59">
        <f>Tribes!G179</f>
        <v>203</v>
      </c>
    </row>
    <row r="163" spans="1:2" ht="12.75">
      <c r="A163" s="100" t="s">
        <v>275</v>
      </c>
      <c r="B163" s="59">
        <f>IF('[1]Tribes'!G198="","",'[1]Tribes'!G198)</f>
      </c>
    </row>
    <row r="164" spans="1:2" ht="12.75">
      <c r="A164" s="99" t="s">
        <v>40</v>
      </c>
      <c r="B164" s="59">
        <f>IF('[1]Tribes'!G199="","",'[1]Tribes'!G199)</f>
      </c>
    </row>
    <row r="165" spans="1:2" ht="12.75">
      <c r="A165" s="100" t="s">
        <v>276</v>
      </c>
      <c r="B165" s="59">
        <f>Tribes!G182</f>
        <v>2566</v>
      </c>
    </row>
    <row r="166" spans="1:2" ht="12.75">
      <c r="A166" s="65" t="s">
        <v>277</v>
      </c>
      <c r="B166" s="59">
        <f>Tribes!G183</f>
        <v>329</v>
      </c>
    </row>
    <row r="167" spans="1:2" ht="12.75">
      <c r="A167" s="100" t="s">
        <v>278</v>
      </c>
      <c r="B167" s="59">
        <f>Tribes!G184</f>
        <v>2476</v>
      </c>
    </row>
    <row r="168" spans="1:2" ht="12.75">
      <c r="A168" s="100" t="s">
        <v>279</v>
      </c>
      <c r="B168" s="59">
        <f>Tribes!G185</f>
        <v>259</v>
      </c>
    </row>
    <row r="169" spans="1:2" ht="12.75">
      <c r="A169" s="100" t="s">
        <v>280</v>
      </c>
      <c r="B169" s="59">
        <f>Tribes!G186</f>
        <v>3674</v>
      </c>
    </row>
    <row r="170" spans="1:2" ht="12.75">
      <c r="A170" s="103"/>
      <c r="B170" s="59">
        <f>IF('[1]Tribes'!G161="","",'[1]Tribes'!G161)</f>
      </c>
    </row>
    <row r="171" spans="1:2" ht="12.75">
      <c r="A171" s="99" t="s">
        <v>10</v>
      </c>
      <c r="B171" s="59">
        <f>IF('[1]Tribes'!G206="","",'[1]Tribes'!G206)</f>
      </c>
    </row>
    <row r="172" spans="1:2" ht="12.75">
      <c r="A172" s="100" t="s">
        <v>281</v>
      </c>
      <c r="B172" s="59">
        <f>Tribes!G189</f>
        <v>2392</v>
      </c>
    </row>
    <row r="173" spans="1:2" ht="12.75">
      <c r="A173" s="103"/>
      <c r="B173" s="59">
        <f>IF('[1]Tribes'!G208="","",'[1]Tribes'!G208)</f>
      </c>
    </row>
    <row r="174" spans="1:2" ht="12.75">
      <c r="A174" s="99" t="s">
        <v>42</v>
      </c>
      <c r="B174" s="59">
        <f>IF('[1]Tribes'!G215="","",'[1]Tribes'!G215)</f>
      </c>
    </row>
    <row r="175" spans="1:2" ht="12.75">
      <c r="A175" s="100" t="s">
        <v>282</v>
      </c>
      <c r="B175" s="59">
        <f>Tribes!G196</f>
        <v>17742</v>
      </c>
    </row>
    <row r="176" spans="1:2" ht="12.75">
      <c r="A176" s="100" t="s">
        <v>283</v>
      </c>
      <c r="B176" s="59">
        <f>Tribes!G197</f>
        <v>2391</v>
      </c>
    </row>
    <row r="177" spans="1:2" ht="12.75">
      <c r="A177" s="100" t="s">
        <v>284</v>
      </c>
      <c r="B177" s="59">
        <f>Tribes!G198</f>
        <v>36742</v>
      </c>
    </row>
    <row r="178" spans="1:2" ht="12.75">
      <c r="A178" s="100" t="s">
        <v>285</v>
      </c>
      <c r="B178" s="59">
        <f>Tribes!G199</f>
        <v>28940</v>
      </c>
    </row>
    <row r="179" spans="1:2" ht="12.75">
      <c r="A179" s="100" t="s">
        <v>286</v>
      </c>
      <c r="B179" s="59">
        <f>Tribes!G200</f>
        <v>11702</v>
      </c>
    </row>
    <row r="180" spans="1:2" ht="12.75">
      <c r="A180" s="100" t="s">
        <v>287</v>
      </c>
      <c r="B180" s="59">
        <f>Tribes!G201</f>
        <v>7298</v>
      </c>
    </row>
    <row r="181" spans="1:2" ht="12.75">
      <c r="A181" s="100" t="s">
        <v>288</v>
      </c>
      <c r="B181" s="59">
        <f>Tribes!G202</f>
        <v>7046</v>
      </c>
    </row>
    <row r="182" spans="1:2" ht="12.75">
      <c r="A182" s="100"/>
      <c r="B182" s="59">
        <f>IF('[1]Tribes'!G223="","",'[1]Tribes'!G223)</f>
      </c>
    </row>
    <row r="183" spans="1:2" ht="12.75">
      <c r="A183" s="99" t="s">
        <v>45</v>
      </c>
      <c r="B183" s="59">
        <f>IF('[1]Tribes'!G224="","",'[1]Tribes'!G224)</f>
      </c>
    </row>
    <row r="184" spans="1:2" ht="12.75">
      <c r="A184" s="100" t="s">
        <v>235</v>
      </c>
      <c r="B184" s="59">
        <f>Tribes!G205</f>
        <v>7650</v>
      </c>
    </row>
    <row r="185" spans="1:2" ht="12.75">
      <c r="A185" s="100" t="s">
        <v>289</v>
      </c>
      <c r="B185" s="59">
        <f>Tribes!G206</f>
        <v>3502</v>
      </c>
    </row>
    <row r="186" spans="1:2" ht="12.75">
      <c r="A186" s="100" t="s">
        <v>290</v>
      </c>
      <c r="B186" s="59">
        <f>Tribes!G207</f>
        <v>5837</v>
      </c>
    </row>
    <row r="187" spans="1:2" ht="12.75">
      <c r="A187" s="95"/>
      <c r="B187" s="59">
        <f>IF('[1]Tribes'!G228="","",'[1]Tribes'!G228)</f>
      </c>
    </row>
    <row r="188" spans="1:2" ht="12.75">
      <c r="A188" s="99" t="s">
        <v>47</v>
      </c>
      <c r="B188" s="59">
        <f>IF('[1]Tribes'!G229="","",'[1]Tribes'!G229)</f>
      </c>
    </row>
    <row r="189" spans="1:2" ht="12.75">
      <c r="A189" s="100" t="s">
        <v>291</v>
      </c>
      <c r="B189" s="59">
        <f>Tribes!G210</f>
        <v>6577</v>
      </c>
    </row>
    <row r="190" spans="1:2" ht="12.75">
      <c r="A190" s="100" t="s">
        <v>292</v>
      </c>
      <c r="B190" s="59">
        <f>Tribes!G211</f>
        <v>164</v>
      </c>
    </row>
    <row r="191" spans="1:2" ht="12.75">
      <c r="A191" s="100" t="s">
        <v>293</v>
      </c>
      <c r="B191" s="59">
        <f>Tribes!G212</f>
        <v>192</v>
      </c>
    </row>
    <row r="192" spans="1:2" ht="12.75">
      <c r="A192" s="100" t="s">
        <v>294</v>
      </c>
      <c r="B192" s="59">
        <f>Tribes!G213</f>
        <v>192</v>
      </c>
    </row>
    <row r="193" spans="1:2" ht="12.75">
      <c r="A193" s="100" t="s">
        <v>295</v>
      </c>
      <c r="B193" s="59">
        <f>Tribes!G214</f>
        <v>469</v>
      </c>
    </row>
    <row r="194" spans="1:2" ht="12.75">
      <c r="A194" s="100" t="s">
        <v>296</v>
      </c>
      <c r="B194" s="59">
        <f>Tribes!G215</f>
        <v>1941</v>
      </c>
    </row>
    <row r="195" spans="1:2" ht="12.75">
      <c r="A195" s="100" t="s">
        <v>297</v>
      </c>
      <c r="B195" s="59">
        <f>Tribes!G216</f>
        <v>1513</v>
      </c>
    </row>
    <row r="196" spans="1:2" ht="12.75">
      <c r="A196" s="100" t="s">
        <v>298</v>
      </c>
      <c r="B196" s="59">
        <f>Tribes!G217</f>
        <v>693</v>
      </c>
    </row>
    <row r="197" spans="1:2" ht="12.75">
      <c r="A197" s="100" t="s">
        <v>299</v>
      </c>
      <c r="B197" s="59">
        <f>Tribes!G218</f>
        <v>533</v>
      </c>
    </row>
    <row r="198" spans="1:2" ht="12.75">
      <c r="A198" s="100" t="s">
        <v>300</v>
      </c>
      <c r="B198" s="59">
        <f>Tribes!G219</f>
        <v>320</v>
      </c>
    </row>
    <row r="199" spans="1:2" ht="12.75">
      <c r="A199" s="100" t="s">
        <v>301</v>
      </c>
      <c r="B199" s="59">
        <f>Tribes!G220</f>
        <v>2164</v>
      </c>
    </row>
    <row r="200" spans="1:2" ht="12.75">
      <c r="A200" s="100" t="s">
        <v>302</v>
      </c>
      <c r="B200" s="59">
        <f>Tribes!G221</f>
        <v>618</v>
      </c>
    </row>
    <row r="201" spans="1:2" ht="12.75">
      <c r="A201" s="100" t="s">
        <v>303</v>
      </c>
      <c r="B201" s="59">
        <f>Tribes!G222</f>
        <v>1684</v>
      </c>
    </row>
    <row r="202" spans="1:2" ht="12.75">
      <c r="A202" s="100" t="s">
        <v>304</v>
      </c>
      <c r="B202" s="59">
        <f>Tribes!G223</f>
        <v>639</v>
      </c>
    </row>
    <row r="203" spans="1:2" ht="12.75">
      <c r="A203" s="100" t="s">
        <v>305</v>
      </c>
      <c r="B203" s="59">
        <f>Tribes!G224</f>
        <v>1023</v>
      </c>
    </row>
    <row r="204" spans="1:2" ht="25.5">
      <c r="A204" s="100" t="s">
        <v>306</v>
      </c>
      <c r="B204" s="59">
        <f>Tribes!G225</f>
        <v>2160</v>
      </c>
    </row>
    <row r="205" spans="1:2" ht="12.75">
      <c r="A205" s="100" t="s">
        <v>307</v>
      </c>
      <c r="B205" s="59">
        <f>Tribes!G226</f>
        <v>1354</v>
      </c>
    </row>
    <row r="206" spans="1:2" ht="12.75">
      <c r="A206" s="100" t="s">
        <v>308</v>
      </c>
      <c r="B206" s="59">
        <f>Tribes!G227</f>
        <v>821</v>
      </c>
    </row>
    <row r="207" spans="1:2" ht="12.75">
      <c r="A207" s="100" t="s">
        <v>309</v>
      </c>
      <c r="B207" s="59">
        <f>Tribes!G228</f>
        <v>1450</v>
      </c>
    </row>
    <row r="208" spans="1:2" ht="12.75">
      <c r="A208" s="100" t="s">
        <v>310</v>
      </c>
      <c r="B208" s="59">
        <f>Tribes!G229</f>
        <v>6972</v>
      </c>
    </row>
    <row r="209" spans="1:2" ht="12.75">
      <c r="A209" s="100"/>
      <c r="B209" s="59">
        <f>IF('[1]Tribes'!G250="","",'[1]Tribes'!G250)</f>
      </c>
    </row>
    <row r="210" spans="1:2" ht="12.75">
      <c r="A210" s="99" t="s">
        <v>50</v>
      </c>
      <c r="B210" s="59">
        <f>IF('[1]Tribes'!G251="","",'[1]Tribes'!G251)</f>
      </c>
    </row>
    <row r="211" spans="1:2" ht="13.5" thickBot="1">
      <c r="A211" s="104" t="s">
        <v>311</v>
      </c>
      <c r="B211" s="59">
        <f>Tribes!G232</f>
        <v>10855</v>
      </c>
    </row>
    <row r="212" spans="1:2" ht="13.5" thickTop="1">
      <c r="A212" s="101" t="s">
        <v>324</v>
      </c>
      <c r="B212" s="102">
        <f>SUM(B7:B211)</f>
        <v>954158</v>
      </c>
    </row>
    <row r="213" ht="12.75">
      <c r="B213" s="105"/>
    </row>
    <row r="215" ht="12.75">
      <c r="A215" s="105"/>
    </row>
  </sheetData>
  <mergeCells count="2">
    <mergeCell ref="A2:I2"/>
    <mergeCell ref="A1:H1"/>
  </mergeCells>
  <printOptions horizontalCentered="1"/>
  <pageMargins left="0.25" right="0.25" top="0.25" bottom="0.25" header="0" footer="0"/>
  <pageSetup fitToHeight="0" fitToWidth="1" horizontalDpi="600" verticalDpi="600" orientation="portrait" scale="67" r:id="rId1"/>
  <rowBreaks count="3" manualBreakCount="3">
    <brk id="72" max="7" man="1"/>
    <brk id="131" max="7" man="1"/>
    <brk id="182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H72"/>
  <sheetViews>
    <sheetView workbookViewId="0" topLeftCell="A65536">
      <selection activeCell="A1" sqref="A1:H1"/>
    </sheetView>
  </sheetViews>
  <sheetFormatPr defaultColWidth="9.33203125" defaultRowHeight="12.75" zeroHeight="1"/>
  <cols>
    <col min="1" max="1" width="20.16015625" style="1" customWidth="1"/>
    <col min="2" max="2" width="19.16015625" style="1" bestFit="1" customWidth="1"/>
    <col min="3" max="3" width="19.16015625" style="2" customWidth="1"/>
    <col min="4" max="4" width="16.83203125" style="1" customWidth="1"/>
    <col min="5" max="5" width="18" style="1" customWidth="1"/>
    <col min="6" max="6" width="16" style="1" customWidth="1"/>
    <col min="7" max="7" width="20.83203125" style="1" customWidth="1"/>
    <col min="8" max="8" width="16" style="2" hidden="1" customWidth="1"/>
    <col min="9" max="16384" width="9.33203125" style="1" customWidth="1"/>
  </cols>
  <sheetData>
    <row r="1" spans="1:8" ht="35.25" customHeight="1" hidden="1">
      <c r="A1" s="107" t="str">
        <f>"Allocation of $ "&amp;TEXT(C4/1000000,"$0.00")&amp;" Million in FY 2006 LIHEAP Emergency Funds to Reflect FO, LPG &amp; NG Heating Fuel Price Increases"</f>
        <v>Allocation of $ $100.00 Million in FY 2006 LIHEAP Emergency Funds to Reflect FO, LPG &amp; NG Heating Fuel Price Increases</v>
      </c>
      <c r="B1" s="107"/>
      <c r="C1" s="107"/>
      <c r="D1" s="107"/>
      <c r="E1" s="107"/>
      <c r="F1" s="107"/>
      <c r="G1" s="107"/>
      <c r="H1" s="107"/>
    </row>
    <row r="2" spans="1:8" ht="18" customHeight="1" hidden="1">
      <c r="A2" s="108" t="s">
        <v>119</v>
      </c>
      <c r="B2" s="108"/>
      <c r="C2" s="108"/>
      <c r="D2" s="108"/>
      <c r="E2" s="108"/>
      <c r="F2" s="108"/>
      <c r="G2" s="108"/>
      <c r="H2" s="108"/>
    </row>
    <row r="3" spans="1:8" ht="12.75" hidden="1">
      <c r="A3" s="3" t="str">
        <f>IF(COLUMN()&lt;=26,CHAR(64+COLUMN()),CHAR(64+ROUNDDOWN((COLUMN()-1)/26,0))&amp;CHAR(65+MOD((COLUMN()-1),26)))</f>
        <v>A</v>
      </c>
      <c r="B3" s="3" t="str">
        <f aca="true" t="shared" si="0" ref="B3:G3">IF(COLUMN()&lt;=26,CHAR(64+COLUMN()),CHAR(64+ROUNDDOWN((COLUMN()-1)/26,0))&amp;CHAR(65+MOD((COLUMN()-1),26)))</f>
        <v>B</v>
      </c>
      <c r="C3" s="3" t="str">
        <f t="shared" si="0"/>
        <v>C</v>
      </c>
      <c r="D3" s="3" t="str">
        <f t="shared" si="0"/>
        <v>D</v>
      </c>
      <c r="E3" s="3" t="str">
        <f t="shared" si="0"/>
        <v>E</v>
      </c>
      <c r="F3" s="3" t="str">
        <f t="shared" si="0"/>
        <v>F</v>
      </c>
      <c r="G3" s="4" t="str">
        <f t="shared" si="0"/>
        <v>G</v>
      </c>
      <c r="H3" s="1"/>
    </row>
    <row r="4" spans="1:8" ht="12.75" hidden="1">
      <c r="A4" s="3" t="s">
        <v>88</v>
      </c>
      <c r="B4" s="2"/>
      <c r="C4" s="8">
        <v>100000000</v>
      </c>
      <c r="D4" s="3"/>
      <c r="E4" s="3"/>
      <c r="F4" s="3"/>
      <c r="G4" s="3"/>
      <c r="H4" s="1"/>
    </row>
    <row r="5" spans="1:8" ht="12.75" hidden="1">
      <c r="A5" s="25" t="s">
        <v>107</v>
      </c>
      <c r="B5" s="4"/>
      <c r="C5" s="28"/>
      <c r="D5" s="3"/>
      <c r="E5" s="3"/>
      <c r="F5" s="3"/>
      <c r="G5" s="3"/>
      <c r="H5" s="1"/>
    </row>
    <row r="6" spans="2:8" ht="63.75" hidden="1">
      <c r="B6" s="27" t="s">
        <v>89</v>
      </c>
      <c r="C6" s="27" t="s">
        <v>90</v>
      </c>
      <c r="D6" s="27" t="s">
        <v>91</v>
      </c>
      <c r="E6" s="27" t="str">
        <f>"Total % HH Using OIL, LPG &amp; NG (Col. "&amp;B3&amp;" + Col. "&amp;C3&amp;" + Col. "&amp;D3&amp;")"</f>
        <v>Total % HH Using OIL, LPG &amp; NG (Col. B + Col. C + Col. D)</v>
      </c>
      <c r="F6" s="27" t="str">
        <f>"Share Based on OIL-LPG-NG  (Col "&amp;E3&amp;" Div. by total for Col "&amp;E3&amp;")"</f>
        <v>Share Based on OIL-LPG-NG  (Col E Div. by total for Col E)</v>
      </c>
      <c r="G6" s="26" t="str">
        <f>"100% Award Based on OIL-LPG-NG ("&amp;TEXT($C$64/1000000,"$0.00")&amp;" Million X Col. "&amp;F3&amp;")"</f>
        <v>100% Award Based on OIL-LPG-NG ($99.86 Million X Col. F)</v>
      </c>
      <c r="H6" s="1"/>
    </row>
    <row r="7" spans="2:8" ht="12.75" hidden="1">
      <c r="B7" s="5"/>
      <c r="C7" s="5"/>
      <c r="D7" s="5"/>
      <c r="E7" s="5"/>
      <c r="F7" s="5"/>
      <c r="G7" s="5"/>
      <c r="H7" s="1"/>
    </row>
    <row r="8" spans="1:8" ht="12.75" hidden="1">
      <c r="A8" s="1" t="s">
        <v>12</v>
      </c>
      <c r="B8" s="9" t="e">
        <f>#REF!/#REF!</f>
        <v>#REF!</v>
      </c>
      <c r="C8" s="9" t="e">
        <f>#REF!/#REF!</f>
        <v>#REF!</v>
      </c>
      <c r="D8" s="9" t="e">
        <f>#REF!/#REF!</f>
        <v>#REF!</v>
      </c>
      <c r="E8" s="9" t="e">
        <f aca="true" t="shared" si="1" ref="E8:E39">SUM(B8:D8)</f>
        <v>#REF!</v>
      </c>
      <c r="F8" s="11" t="e">
        <f aca="true" t="shared" si="2" ref="F8:F39">E8/E$60</f>
        <v>#REF!</v>
      </c>
      <c r="G8" s="8" t="e">
        <f aca="true" t="shared" si="3" ref="G8:G39">F8*$C$64</f>
        <v>#REF!</v>
      </c>
      <c r="H8" s="1"/>
    </row>
    <row r="9" spans="1:8" ht="12.75" hidden="1">
      <c r="A9" s="1" t="s">
        <v>1</v>
      </c>
      <c r="B9" s="9" t="e">
        <f>#REF!/#REF!</f>
        <v>#REF!</v>
      </c>
      <c r="C9" s="9" t="e">
        <f>#REF!/#REF!</f>
        <v>#REF!</v>
      </c>
      <c r="D9" s="9" t="e">
        <f>#REF!/#REF!</f>
        <v>#REF!</v>
      </c>
      <c r="E9" s="9" t="e">
        <f t="shared" si="1"/>
        <v>#REF!</v>
      </c>
      <c r="F9" s="11" t="e">
        <f t="shared" si="2"/>
        <v>#REF!</v>
      </c>
      <c r="G9" s="8" t="e">
        <f t="shared" si="3"/>
        <v>#REF!</v>
      </c>
      <c r="H9" s="1"/>
    </row>
    <row r="10" spans="1:8" ht="12.75" hidden="1">
      <c r="A10" s="1" t="s">
        <v>13</v>
      </c>
      <c r="B10" s="9" t="e">
        <f>#REF!/#REF!</f>
        <v>#REF!</v>
      </c>
      <c r="C10" s="9" t="e">
        <f>#REF!/#REF!</f>
        <v>#REF!</v>
      </c>
      <c r="D10" s="9" t="e">
        <f>#REF!/#REF!</f>
        <v>#REF!</v>
      </c>
      <c r="E10" s="9" t="e">
        <f t="shared" si="1"/>
        <v>#REF!</v>
      </c>
      <c r="F10" s="11" t="e">
        <f t="shared" si="2"/>
        <v>#REF!</v>
      </c>
      <c r="G10" s="8" t="e">
        <f t="shared" si="3"/>
        <v>#REF!</v>
      </c>
      <c r="H10" s="1"/>
    </row>
    <row r="11" spans="1:8" ht="12.75" hidden="1">
      <c r="A11" s="1" t="s">
        <v>14</v>
      </c>
      <c r="B11" s="9" t="e">
        <f>#REF!/#REF!</f>
        <v>#REF!</v>
      </c>
      <c r="C11" s="9" t="e">
        <f>#REF!/#REF!</f>
        <v>#REF!</v>
      </c>
      <c r="D11" s="9" t="e">
        <f>#REF!/#REF!</f>
        <v>#REF!</v>
      </c>
      <c r="E11" s="9" t="e">
        <f t="shared" si="1"/>
        <v>#REF!</v>
      </c>
      <c r="F11" s="11" t="e">
        <f t="shared" si="2"/>
        <v>#REF!</v>
      </c>
      <c r="G11" s="8" t="e">
        <f t="shared" si="3"/>
        <v>#REF!</v>
      </c>
      <c r="H11" s="1"/>
    </row>
    <row r="12" spans="1:8" ht="12.75" hidden="1">
      <c r="A12" s="1" t="s">
        <v>15</v>
      </c>
      <c r="B12" s="9" t="e">
        <f>#REF!/#REF!</f>
        <v>#REF!</v>
      </c>
      <c r="C12" s="9" t="e">
        <f>#REF!/#REF!</f>
        <v>#REF!</v>
      </c>
      <c r="D12" s="9" t="e">
        <f>#REF!/#REF!</f>
        <v>#REF!</v>
      </c>
      <c r="E12" s="9" t="e">
        <f t="shared" si="1"/>
        <v>#REF!</v>
      </c>
      <c r="F12" s="11" t="e">
        <f t="shared" si="2"/>
        <v>#REF!</v>
      </c>
      <c r="G12" s="8" t="e">
        <f t="shared" si="3"/>
        <v>#REF!</v>
      </c>
      <c r="H12" s="1"/>
    </row>
    <row r="13" spans="1:8" ht="12.75" hidden="1">
      <c r="A13" s="1" t="s">
        <v>16</v>
      </c>
      <c r="B13" s="9" t="e">
        <f>#REF!/#REF!</f>
        <v>#REF!</v>
      </c>
      <c r="C13" s="9" t="e">
        <f>#REF!/#REF!</f>
        <v>#REF!</v>
      </c>
      <c r="D13" s="9" t="e">
        <f>#REF!/#REF!</f>
        <v>#REF!</v>
      </c>
      <c r="E13" s="9" t="e">
        <f t="shared" si="1"/>
        <v>#REF!</v>
      </c>
      <c r="F13" s="11" t="e">
        <f t="shared" si="2"/>
        <v>#REF!</v>
      </c>
      <c r="G13" s="8" t="e">
        <f t="shared" si="3"/>
        <v>#REF!</v>
      </c>
      <c r="H13" s="1"/>
    </row>
    <row r="14" spans="1:8" ht="12.75" hidden="1">
      <c r="A14" s="1" t="s">
        <v>2</v>
      </c>
      <c r="B14" s="9" t="e">
        <f>#REF!/#REF!</f>
        <v>#REF!</v>
      </c>
      <c r="C14" s="9" t="e">
        <f>#REF!/#REF!</f>
        <v>#REF!</v>
      </c>
      <c r="D14" s="9" t="e">
        <f>#REF!/#REF!</f>
        <v>#REF!</v>
      </c>
      <c r="E14" s="9" t="e">
        <f t="shared" si="1"/>
        <v>#REF!</v>
      </c>
      <c r="F14" s="11" t="e">
        <f t="shared" si="2"/>
        <v>#REF!</v>
      </c>
      <c r="G14" s="8" t="e">
        <f t="shared" si="3"/>
        <v>#REF!</v>
      </c>
      <c r="H14" s="1"/>
    </row>
    <row r="15" spans="1:8" ht="12.75" hidden="1">
      <c r="A15" s="1" t="s">
        <v>3</v>
      </c>
      <c r="B15" s="9" t="e">
        <f>#REF!/#REF!</f>
        <v>#REF!</v>
      </c>
      <c r="C15" s="9" t="e">
        <f>#REF!/#REF!</f>
        <v>#REF!</v>
      </c>
      <c r="D15" s="9" t="e">
        <f>#REF!/#REF!</f>
        <v>#REF!</v>
      </c>
      <c r="E15" s="9" t="e">
        <f t="shared" si="1"/>
        <v>#REF!</v>
      </c>
      <c r="F15" s="11" t="e">
        <f t="shared" si="2"/>
        <v>#REF!</v>
      </c>
      <c r="G15" s="8" t="e">
        <f t="shared" si="3"/>
        <v>#REF!</v>
      </c>
      <c r="H15" s="1"/>
    </row>
    <row r="16" spans="1:8" ht="12.75" hidden="1">
      <c r="A16" s="1" t="s">
        <v>51</v>
      </c>
      <c r="B16" s="9" t="e">
        <f>#REF!/#REF!</f>
        <v>#REF!</v>
      </c>
      <c r="C16" s="9" t="e">
        <f>#REF!/#REF!</f>
        <v>#REF!</v>
      </c>
      <c r="D16" s="9" t="e">
        <f>#REF!/#REF!</f>
        <v>#REF!</v>
      </c>
      <c r="E16" s="9" t="e">
        <f t="shared" si="1"/>
        <v>#REF!</v>
      </c>
      <c r="F16" s="11" t="e">
        <f t="shared" si="2"/>
        <v>#REF!</v>
      </c>
      <c r="G16" s="8" t="e">
        <f t="shared" si="3"/>
        <v>#REF!</v>
      </c>
      <c r="H16" s="1"/>
    </row>
    <row r="17" spans="1:8" ht="12.75" hidden="1">
      <c r="A17" s="1" t="s">
        <v>17</v>
      </c>
      <c r="B17" s="9" t="e">
        <f>#REF!/#REF!</f>
        <v>#REF!</v>
      </c>
      <c r="C17" s="9" t="e">
        <f>#REF!/#REF!</f>
        <v>#REF!</v>
      </c>
      <c r="D17" s="9" t="e">
        <f>#REF!/#REF!</f>
        <v>#REF!</v>
      </c>
      <c r="E17" s="9" t="e">
        <f t="shared" si="1"/>
        <v>#REF!</v>
      </c>
      <c r="F17" s="11" t="e">
        <f t="shared" si="2"/>
        <v>#REF!</v>
      </c>
      <c r="G17" s="8" t="e">
        <f t="shared" si="3"/>
        <v>#REF!</v>
      </c>
      <c r="H17" s="1"/>
    </row>
    <row r="18" spans="1:8" ht="12.75" hidden="1">
      <c r="A18" s="1" t="s">
        <v>18</v>
      </c>
      <c r="B18" s="9" t="e">
        <f>#REF!/#REF!</f>
        <v>#REF!</v>
      </c>
      <c r="C18" s="9" t="e">
        <f>#REF!/#REF!</f>
        <v>#REF!</v>
      </c>
      <c r="D18" s="9" t="e">
        <f>#REF!/#REF!</f>
        <v>#REF!</v>
      </c>
      <c r="E18" s="9" t="e">
        <f t="shared" si="1"/>
        <v>#REF!</v>
      </c>
      <c r="F18" s="11" t="e">
        <f t="shared" si="2"/>
        <v>#REF!</v>
      </c>
      <c r="G18" s="8" t="e">
        <f t="shared" si="3"/>
        <v>#REF!</v>
      </c>
      <c r="H18" s="1"/>
    </row>
    <row r="19" spans="1:8" ht="12.75" hidden="1">
      <c r="A19" s="1" t="s">
        <v>19</v>
      </c>
      <c r="B19" s="9" t="e">
        <f>#REF!/#REF!</f>
        <v>#REF!</v>
      </c>
      <c r="C19" s="9" t="e">
        <f>#REF!/#REF!</f>
        <v>#REF!</v>
      </c>
      <c r="D19" s="9" t="e">
        <f>#REF!/#REF!</f>
        <v>#REF!</v>
      </c>
      <c r="E19" s="9" t="e">
        <f t="shared" si="1"/>
        <v>#REF!</v>
      </c>
      <c r="F19" s="11" t="e">
        <f t="shared" si="2"/>
        <v>#REF!</v>
      </c>
      <c r="G19" s="8" t="e">
        <f t="shared" si="3"/>
        <v>#REF!</v>
      </c>
      <c r="H19" s="1"/>
    </row>
    <row r="20" spans="1:8" ht="12.75" hidden="1">
      <c r="A20" s="1" t="s">
        <v>20</v>
      </c>
      <c r="B20" s="9" t="e">
        <f>#REF!/#REF!</f>
        <v>#REF!</v>
      </c>
      <c r="C20" s="9" t="e">
        <f>#REF!/#REF!</f>
        <v>#REF!</v>
      </c>
      <c r="D20" s="9" t="e">
        <f>#REF!/#REF!</f>
        <v>#REF!</v>
      </c>
      <c r="E20" s="9" t="e">
        <f t="shared" si="1"/>
        <v>#REF!</v>
      </c>
      <c r="F20" s="11" t="e">
        <f t="shared" si="2"/>
        <v>#REF!</v>
      </c>
      <c r="G20" s="8" t="e">
        <f t="shared" si="3"/>
        <v>#REF!</v>
      </c>
      <c r="H20" s="1"/>
    </row>
    <row r="21" spans="1:8" ht="12.75" hidden="1">
      <c r="A21" s="1" t="s">
        <v>21</v>
      </c>
      <c r="B21" s="9" t="e">
        <f>#REF!/#REF!</f>
        <v>#REF!</v>
      </c>
      <c r="C21" s="9" t="e">
        <f>#REF!/#REF!</f>
        <v>#REF!</v>
      </c>
      <c r="D21" s="9" t="e">
        <f>#REF!/#REF!</f>
        <v>#REF!</v>
      </c>
      <c r="E21" s="9" t="e">
        <f t="shared" si="1"/>
        <v>#REF!</v>
      </c>
      <c r="F21" s="11" t="e">
        <f t="shared" si="2"/>
        <v>#REF!</v>
      </c>
      <c r="G21" s="8" t="e">
        <f t="shared" si="3"/>
        <v>#REF!</v>
      </c>
      <c r="H21" s="1"/>
    </row>
    <row r="22" spans="1:8" ht="12.75" hidden="1">
      <c r="A22" s="1" t="s">
        <v>22</v>
      </c>
      <c r="B22" s="9" t="e">
        <f>#REF!/#REF!</f>
        <v>#REF!</v>
      </c>
      <c r="C22" s="9" t="e">
        <f>#REF!/#REF!</f>
        <v>#REF!</v>
      </c>
      <c r="D22" s="9" t="e">
        <f>#REF!/#REF!</f>
        <v>#REF!</v>
      </c>
      <c r="E22" s="9" t="e">
        <f t="shared" si="1"/>
        <v>#REF!</v>
      </c>
      <c r="F22" s="11" t="e">
        <f t="shared" si="2"/>
        <v>#REF!</v>
      </c>
      <c r="G22" s="8" t="e">
        <f t="shared" si="3"/>
        <v>#REF!</v>
      </c>
      <c r="H22" s="1"/>
    </row>
    <row r="23" spans="1:8" ht="12.75" hidden="1">
      <c r="A23" s="1" t="s">
        <v>23</v>
      </c>
      <c r="B23" s="9" t="e">
        <f>#REF!/#REF!</f>
        <v>#REF!</v>
      </c>
      <c r="C23" s="9" t="e">
        <f>#REF!/#REF!</f>
        <v>#REF!</v>
      </c>
      <c r="D23" s="9" t="e">
        <f>#REF!/#REF!</f>
        <v>#REF!</v>
      </c>
      <c r="E23" s="9" t="e">
        <f t="shared" si="1"/>
        <v>#REF!</v>
      </c>
      <c r="F23" s="11" t="e">
        <f t="shared" si="2"/>
        <v>#REF!</v>
      </c>
      <c r="G23" s="8" t="e">
        <f t="shared" si="3"/>
        <v>#REF!</v>
      </c>
      <c r="H23" s="1"/>
    </row>
    <row r="24" spans="1:8" ht="12.75" hidden="1">
      <c r="A24" s="1" t="s">
        <v>24</v>
      </c>
      <c r="B24" s="9" t="e">
        <f>#REF!/#REF!</f>
        <v>#REF!</v>
      </c>
      <c r="C24" s="9" t="e">
        <f>#REF!/#REF!</f>
        <v>#REF!</v>
      </c>
      <c r="D24" s="9" t="e">
        <f>#REF!/#REF!</f>
        <v>#REF!</v>
      </c>
      <c r="E24" s="9" t="e">
        <f t="shared" si="1"/>
        <v>#REF!</v>
      </c>
      <c r="F24" s="11" t="e">
        <f t="shared" si="2"/>
        <v>#REF!</v>
      </c>
      <c r="G24" s="8" t="e">
        <f t="shared" si="3"/>
        <v>#REF!</v>
      </c>
      <c r="H24" s="1"/>
    </row>
    <row r="25" spans="1:8" ht="12.75" hidden="1">
      <c r="A25" s="1" t="s">
        <v>25</v>
      </c>
      <c r="B25" s="9" t="e">
        <f>#REF!/#REF!</f>
        <v>#REF!</v>
      </c>
      <c r="C25" s="9" t="e">
        <f>#REF!/#REF!</f>
        <v>#REF!</v>
      </c>
      <c r="D25" s="9" t="e">
        <f>#REF!/#REF!</f>
        <v>#REF!</v>
      </c>
      <c r="E25" s="9" t="e">
        <f t="shared" si="1"/>
        <v>#REF!</v>
      </c>
      <c r="F25" s="11" t="e">
        <f t="shared" si="2"/>
        <v>#REF!</v>
      </c>
      <c r="G25" s="8" t="e">
        <f t="shared" si="3"/>
        <v>#REF!</v>
      </c>
      <c r="H25" s="1"/>
    </row>
    <row r="26" spans="1:8" ht="12.75" hidden="1">
      <c r="A26" s="1" t="s">
        <v>26</v>
      </c>
      <c r="B26" s="9" t="e">
        <f>#REF!/#REF!</f>
        <v>#REF!</v>
      </c>
      <c r="C26" s="9" t="e">
        <f>#REF!/#REF!</f>
        <v>#REF!</v>
      </c>
      <c r="D26" s="9" t="e">
        <f>#REF!/#REF!</f>
        <v>#REF!</v>
      </c>
      <c r="E26" s="9" t="e">
        <f t="shared" si="1"/>
        <v>#REF!</v>
      </c>
      <c r="F26" s="11" t="e">
        <f t="shared" si="2"/>
        <v>#REF!</v>
      </c>
      <c r="G26" s="8" t="e">
        <f t="shared" si="3"/>
        <v>#REF!</v>
      </c>
      <c r="H26" s="1"/>
    </row>
    <row r="27" spans="1:8" ht="12.75" hidden="1">
      <c r="A27" s="1" t="s">
        <v>4</v>
      </c>
      <c r="B27" s="9" t="e">
        <f>#REF!/#REF!</f>
        <v>#REF!</v>
      </c>
      <c r="C27" s="9" t="e">
        <f>#REF!/#REF!</f>
        <v>#REF!</v>
      </c>
      <c r="D27" s="9" t="e">
        <f>#REF!/#REF!</f>
        <v>#REF!</v>
      </c>
      <c r="E27" s="9" t="e">
        <f t="shared" si="1"/>
        <v>#REF!</v>
      </c>
      <c r="F27" s="11" t="e">
        <f t="shared" si="2"/>
        <v>#REF!</v>
      </c>
      <c r="G27" s="8" t="e">
        <f t="shared" si="3"/>
        <v>#REF!</v>
      </c>
      <c r="H27" s="1"/>
    </row>
    <row r="28" spans="1:8" ht="12.75" hidden="1">
      <c r="A28" s="1" t="s">
        <v>27</v>
      </c>
      <c r="B28" s="9" t="e">
        <f>#REF!/#REF!</f>
        <v>#REF!</v>
      </c>
      <c r="C28" s="9" t="e">
        <f>#REF!/#REF!</f>
        <v>#REF!</v>
      </c>
      <c r="D28" s="9" t="e">
        <f>#REF!/#REF!</f>
        <v>#REF!</v>
      </c>
      <c r="E28" s="9" t="e">
        <f t="shared" si="1"/>
        <v>#REF!</v>
      </c>
      <c r="F28" s="11" t="e">
        <f t="shared" si="2"/>
        <v>#REF!</v>
      </c>
      <c r="G28" s="8" t="e">
        <f t="shared" si="3"/>
        <v>#REF!</v>
      </c>
      <c r="H28" s="1"/>
    </row>
    <row r="29" spans="1:8" ht="12.75" hidden="1">
      <c r="A29" s="1" t="s">
        <v>5</v>
      </c>
      <c r="B29" s="9" t="e">
        <f>#REF!/#REF!</f>
        <v>#REF!</v>
      </c>
      <c r="C29" s="9" t="e">
        <f>#REF!/#REF!</f>
        <v>#REF!</v>
      </c>
      <c r="D29" s="9" t="e">
        <f>#REF!/#REF!</f>
        <v>#REF!</v>
      </c>
      <c r="E29" s="9" t="e">
        <f t="shared" si="1"/>
        <v>#REF!</v>
      </c>
      <c r="F29" s="11" t="e">
        <f t="shared" si="2"/>
        <v>#REF!</v>
      </c>
      <c r="G29" s="8" t="e">
        <f t="shared" si="3"/>
        <v>#REF!</v>
      </c>
      <c r="H29" s="1"/>
    </row>
    <row r="30" spans="1:8" ht="12.75" hidden="1">
      <c r="A30" s="1" t="s">
        <v>28</v>
      </c>
      <c r="B30" s="9" t="e">
        <f>#REF!/#REF!</f>
        <v>#REF!</v>
      </c>
      <c r="C30" s="9" t="e">
        <f>#REF!/#REF!</f>
        <v>#REF!</v>
      </c>
      <c r="D30" s="9" t="e">
        <f>#REF!/#REF!</f>
        <v>#REF!</v>
      </c>
      <c r="E30" s="9" t="e">
        <f t="shared" si="1"/>
        <v>#REF!</v>
      </c>
      <c r="F30" s="11" t="e">
        <f t="shared" si="2"/>
        <v>#REF!</v>
      </c>
      <c r="G30" s="8" t="e">
        <f t="shared" si="3"/>
        <v>#REF!</v>
      </c>
      <c r="H30" s="1"/>
    </row>
    <row r="31" spans="1:8" ht="12.75" hidden="1">
      <c r="A31" s="1" t="s">
        <v>29</v>
      </c>
      <c r="B31" s="9" t="e">
        <f>#REF!/#REF!</f>
        <v>#REF!</v>
      </c>
      <c r="C31" s="9" t="e">
        <f>#REF!/#REF!</f>
        <v>#REF!</v>
      </c>
      <c r="D31" s="9" t="e">
        <f>#REF!/#REF!</f>
        <v>#REF!</v>
      </c>
      <c r="E31" s="9" t="e">
        <f t="shared" si="1"/>
        <v>#REF!</v>
      </c>
      <c r="F31" s="11" t="e">
        <f t="shared" si="2"/>
        <v>#REF!</v>
      </c>
      <c r="G31" s="8" t="e">
        <f t="shared" si="3"/>
        <v>#REF!</v>
      </c>
      <c r="H31" s="1"/>
    </row>
    <row r="32" spans="1:8" ht="12.75" hidden="1">
      <c r="A32" s="1" t="s">
        <v>30</v>
      </c>
      <c r="B32" s="9" t="e">
        <f>#REF!/#REF!</f>
        <v>#REF!</v>
      </c>
      <c r="C32" s="9" t="e">
        <f>#REF!/#REF!</f>
        <v>#REF!</v>
      </c>
      <c r="D32" s="9" t="e">
        <f>#REF!/#REF!</f>
        <v>#REF!</v>
      </c>
      <c r="E32" s="9" t="e">
        <f t="shared" si="1"/>
        <v>#REF!</v>
      </c>
      <c r="F32" s="11" t="e">
        <f t="shared" si="2"/>
        <v>#REF!</v>
      </c>
      <c r="G32" s="8" t="e">
        <f t="shared" si="3"/>
        <v>#REF!</v>
      </c>
      <c r="H32" s="1"/>
    </row>
    <row r="33" spans="1:8" ht="12.75" hidden="1">
      <c r="A33" s="1" t="s">
        <v>31</v>
      </c>
      <c r="B33" s="9" t="e">
        <f>#REF!/#REF!</f>
        <v>#REF!</v>
      </c>
      <c r="C33" s="9" t="e">
        <f>#REF!/#REF!</f>
        <v>#REF!</v>
      </c>
      <c r="D33" s="9" t="e">
        <f>#REF!/#REF!</f>
        <v>#REF!</v>
      </c>
      <c r="E33" s="9" t="e">
        <f t="shared" si="1"/>
        <v>#REF!</v>
      </c>
      <c r="F33" s="11" t="e">
        <f t="shared" si="2"/>
        <v>#REF!</v>
      </c>
      <c r="G33" s="8" t="e">
        <f t="shared" si="3"/>
        <v>#REF!</v>
      </c>
      <c r="H33" s="1"/>
    </row>
    <row r="34" spans="1:8" ht="12.75" hidden="1">
      <c r="A34" s="1" t="s">
        <v>32</v>
      </c>
      <c r="B34" s="9" t="e">
        <f>#REF!/#REF!</f>
        <v>#REF!</v>
      </c>
      <c r="C34" s="9" t="e">
        <f>#REF!/#REF!</f>
        <v>#REF!</v>
      </c>
      <c r="D34" s="9" t="e">
        <f>#REF!/#REF!</f>
        <v>#REF!</v>
      </c>
      <c r="E34" s="9" t="e">
        <f t="shared" si="1"/>
        <v>#REF!</v>
      </c>
      <c r="F34" s="11" t="e">
        <f t="shared" si="2"/>
        <v>#REF!</v>
      </c>
      <c r="G34" s="8" t="e">
        <f t="shared" si="3"/>
        <v>#REF!</v>
      </c>
      <c r="H34" s="1"/>
    </row>
    <row r="35" spans="1:8" ht="12.75" hidden="1">
      <c r="A35" s="1" t="s">
        <v>33</v>
      </c>
      <c r="B35" s="9" t="e">
        <f>#REF!/#REF!</f>
        <v>#REF!</v>
      </c>
      <c r="C35" s="9" t="e">
        <f>#REF!/#REF!</f>
        <v>#REF!</v>
      </c>
      <c r="D35" s="9" t="e">
        <f>#REF!/#REF!</f>
        <v>#REF!</v>
      </c>
      <c r="E35" s="9" t="e">
        <f t="shared" si="1"/>
        <v>#REF!</v>
      </c>
      <c r="F35" s="11" t="e">
        <f t="shared" si="2"/>
        <v>#REF!</v>
      </c>
      <c r="G35" s="8" t="e">
        <f t="shared" si="3"/>
        <v>#REF!</v>
      </c>
      <c r="H35" s="1"/>
    </row>
    <row r="36" spans="1:8" ht="12.75" hidden="1">
      <c r="A36" s="1" t="s">
        <v>34</v>
      </c>
      <c r="B36" s="9" t="e">
        <f>#REF!/#REF!</f>
        <v>#REF!</v>
      </c>
      <c r="C36" s="9" t="e">
        <f>#REF!/#REF!</f>
        <v>#REF!</v>
      </c>
      <c r="D36" s="9" t="e">
        <f>#REF!/#REF!</f>
        <v>#REF!</v>
      </c>
      <c r="E36" s="9" t="e">
        <f t="shared" si="1"/>
        <v>#REF!</v>
      </c>
      <c r="F36" s="11" t="e">
        <f t="shared" si="2"/>
        <v>#REF!</v>
      </c>
      <c r="G36" s="8" t="e">
        <f t="shared" si="3"/>
        <v>#REF!</v>
      </c>
      <c r="H36" s="1"/>
    </row>
    <row r="37" spans="1:8" ht="12.75" hidden="1">
      <c r="A37" s="1" t="s">
        <v>6</v>
      </c>
      <c r="B37" s="9" t="e">
        <f>#REF!/#REF!</f>
        <v>#REF!</v>
      </c>
      <c r="C37" s="9" t="e">
        <f>#REF!/#REF!</f>
        <v>#REF!</v>
      </c>
      <c r="D37" s="9" t="e">
        <f>#REF!/#REF!</f>
        <v>#REF!</v>
      </c>
      <c r="E37" s="9" t="e">
        <f t="shared" si="1"/>
        <v>#REF!</v>
      </c>
      <c r="F37" s="11" t="e">
        <f t="shared" si="2"/>
        <v>#REF!</v>
      </c>
      <c r="G37" s="8" t="e">
        <f t="shared" si="3"/>
        <v>#REF!</v>
      </c>
      <c r="H37" s="1"/>
    </row>
    <row r="38" spans="1:8" ht="12.75" hidden="1">
      <c r="A38" s="1" t="s">
        <v>7</v>
      </c>
      <c r="B38" s="9" t="e">
        <f>#REF!/#REF!</f>
        <v>#REF!</v>
      </c>
      <c r="C38" s="9" t="e">
        <f>#REF!/#REF!</f>
        <v>#REF!</v>
      </c>
      <c r="D38" s="9" t="e">
        <f>#REF!/#REF!</f>
        <v>#REF!</v>
      </c>
      <c r="E38" s="9" t="e">
        <f t="shared" si="1"/>
        <v>#REF!</v>
      </c>
      <c r="F38" s="11" t="e">
        <f t="shared" si="2"/>
        <v>#REF!</v>
      </c>
      <c r="G38" s="8" t="e">
        <f t="shared" si="3"/>
        <v>#REF!</v>
      </c>
      <c r="H38" s="1"/>
    </row>
    <row r="39" spans="1:8" ht="12.75" hidden="1">
      <c r="A39" s="1" t="s">
        <v>35</v>
      </c>
      <c r="B39" s="9" t="e">
        <f>#REF!/#REF!</f>
        <v>#REF!</v>
      </c>
      <c r="C39" s="9" t="e">
        <f>#REF!/#REF!</f>
        <v>#REF!</v>
      </c>
      <c r="D39" s="9" t="e">
        <f>#REF!/#REF!</f>
        <v>#REF!</v>
      </c>
      <c r="E39" s="9" t="e">
        <f t="shared" si="1"/>
        <v>#REF!</v>
      </c>
      <c r="F39" s="11" t="e">
        <f t="shared" si="2"/>
        <v>#REF!</v>
      </c>
      <c r="G39" s="8" t="e">
        <f t="shared" si="3"/>
        <v>#REF!</v>
      </c>
      <c r="H39" s="1"/>
    </row>
    <row r="40" spans="1:8" ht="12.75" hidden="1">
      <c r="A40" s="1" t="s">
        <v>8</v>
      </c>
      <c r="B40" s="9" t="e">
        <f>#REF!/#REF!</f>
        <v>#REF!</v>
      </c>
      <c r="C40" s="9" t="e">
        <f>#REF!/#REF!</f>
        <v>#REF!</v>
      </c>
      <c r="D40" s="9" t="e">
        <f>#REF!/#REF!</f>
        <v>#REF!</v>
      </c>
      <c r="E40" s="9" t="e">
        <f aca="true" t="shared" si="4" ref="E40:E58">SUM(B40:D40)</f>
        <v>#REF!</v>
      </c>
      <c r="F40" s="11" t="e">
        <f aca="true" t="shared" si="5" ref="F40:F58">E40/E$60</f>
        <v>#REF!</v>
      </c>
      <c r="G40" s="8" t="e">
        <f aca="true" t="shared" si="6" ref="G40:G58">F40*$C$64</f>
        <v>#REF!</v>
      </c>
      <c r="H40" s="1"/>
    </row>
    <row r="41" spans="1:8" ht="12.75" hidden="1">
      <c r="A41" s="1" t="s">
        <v>36</v>
      </c>
      <c r="B41" s="9" t="e">
        <f>#REF!/#REF!</f>
        <v>#REF!</v>
      </c>
      <c r="C41" s="9" t="e">
        <f>#REF!/#REF!</f>
        <v>#REF!</v>
      </c>
      <c r="D41" s="9" t="e">
        <f>#REF!/#REF!</f>
        <v>#REF!</v>
      </c>
      <c r="E41" s="9" t="e">
        <f t="shared" si="4"/>
        <v>#REF!</v>
      </c>
      <c r="F41" s="11" t="e">
        <f t="shared" si="5"/>
        <v>#REF!</v>
      </c>
      <c r="G41" s="8" t="e">
        <f t="shared" si="6"/>
        <v>#REF!</v>
      </c>
      <c r="H41" s="1"/>
    </row>
    <row r="42" spans="1:8" ht="12.75" hidden="1">
      <c r="A42" s="1" t="s">
        <v>37</v>
      </c>
      <c r="B42" s="9" t="e">
        <f>#REF!/#REF!</f>
        <v>#REF!</v>
      </c>
      <c r="C42" s="9" t="e">
        <f>#REF!/#REF!</f>
        <v>#REF!</v>
      </c>
      <c r="D42" s="9" t="e">
        <f>#REF!/#REF!</f>
        <v>#REF!</v>
      </c>
      <c r="E42" s="9" t="e">
        <f t="shared" si="4"/>
        <v>#REF!</v>
      </c>
      <c r="F42" s="11" t="e">
        <f t="shared" si="5"/>
        <v>#REF!</v>
      </c>
      <c r="G42" s="8" t="e">
        <f t="shared" si="6"/>
        <v>#REF!</v>
      </c>
      <c r="H42" s="1"/>
    </row>
    <row r="43" spans="1:8" ht="12.75" hidden="1">
      <c r="A43" s="1" t="s">
        <v>38</v>
      </c>
      <c r="B43" s="9" t="e">
        <f>#REF!/#REF!</f>
        <v>#REF!</v>
      </c>
      <c r="C43" s="9" t="e">
        <f>#REF!/#REF!</f>
        <v>#REF!</v>
      </c>
      <c r="D43" s="9" t="e">
        <f>#REF!/#REF!</f>
        <v>#REF!</v>
      </c>
      <c r="E43" s="9" t="e">
        <f t="shared" si="4"/>
        <v>#REF!</v>
      </c>
      <c r="F43" s="11" t="e">
        <f t="shared" si="5"/>
        <v>#REF!</v>
      </c>
      <c r="G43" s="8" t="e">
        <f t="shared" si="6"/>
        <v>#REF!</v>
      </c>
      <c r="H43" s="1"/>
    </row>
    <row r="44" spans="1:8" ht="12.75" hidden="1">
      <c r="A44" s="1" t="s">
        <v>39</v>
      </c>
      <c r="B44" s="9" t="e">
        <f>#REF!/#REF!</f>
        <v>#REF!</v>
      </c>
      <c r="C44" s="9" t="e">
        <f>#REF!/#REF!</f>
        <v>#REF!</v>
      </c>
      <c r="D44" s="9" t="e">
        <f>#REF!/#REF!</f>
        <v>#REF!</v>
      </c>
      <c r="E44" s="9" t="e">
        <f t="shared" si="4"/>
        <v>#REF!</v>
      </c>
      <c r="F44" s="11" t="e">
        <f t="shared" si="5"/>
        <v>#REF!</v>
      </c>
      <c r="G44" s="8" t="e">
        <f t="shared" si="6"/>
        <v>#REF!</v>
      </c>
      <c r="H44" s="1"/>
    </row>
    <row r="45" spans="1:8" ht="12.75" hidden="1">
      <c r="A45" s="1" t="s">
        <v>40</v>
      </c>
      <c r="B45" s="9" t="e">
        <f>#REF!/#REF!</f>
        <v>#REF!</v>
      </c>
      <c r="C45" s="9" t="e">
        <f>#REF!/#REF!</f>
        <v>#REF!</v>
      </c>
      <c r="D45" s="9" t="e">
        <f>#REF!/#REF!</f>
        <v>#REF!</v>
      </c>
      <c r="E45" s="9" t="e">
        <f t="shared" si="4"/>
        <v>#REF!</v>
      </c>
      <c r="F45" s="11" t="e">
        <f t="shared" si="5"/>
        <v>#REF!</v>
      </c>
      <c r="G45" s="8" t="e">
        <f t="shared" si="6"/>
        <v>#REF!</v>
      </c>
      <c r="H45" s="1"/>
    </row>
    <row r="46" spans="1:8" ht="12.75" hidden="1">
      <c r="A46" s="1" t="s">
        <v>9</v>
      </c>
      <c r="B46" s="9" t="e">
        <f>#REF!/#REF!</f>
        <v>#REF!</v>
      </c>
      <c r="C46" s="9" t="e">
        <f>#REF!/#REF!</f>
        <v>#REF!</v>
      </c>
      <c r="D46" s="9" t="e">
        <f>#REF!/#REF!</f>
        <v>#REF!</v>
      </c>
      <c r="E46" s="9" t="e">
        <f t="shared" si="4"/>
        <v>#REF!</v>
      </c>
      <c r="F46" s="11" t="e">
        <f t="shared" si="5"/>
        <v>#REF!</v>
      </c>
      <c r="G46" s="8" t="e">
        <f t="shared" si="6"/>
        <v>#REF!</v>
      </c>
      <c r="H46" s="1"/>
    </row>
    <row r="47" spans="1:8" ht="12.75" hidden="1">
      <c r="A47" s="1" t="s">
        <v>10</v>
      </c>
      <c r="B47" s="9" t="e">
        <f>#REF!/#REF!</f>
        <v>#REF!</v>
      </c>
      <c r="C47" s="9" t="e">
        <f>#REF!/#REF!</f>
        <v>#REF!</v>
      </c>
      <c r="D47" s="9" t="e">
        <f>#REF!/#REF!</f>
        <v>#REF!</v>
      </c>
      <c r="E47" s="9" t="e">
        <f t="shared" si="4"/>
        <v>#REF!</v>
      </c>
      <c r="F47" s="11" t="e">
        <f t="shared" si="5"/>
        <v>#REF!</v>
      </c>
      <c r="G47" s="8" t="e">
        <f t="shared" si="6"/>
        <v>#REF!</v>
      </c>
      <c r="H47" s="1"/>
    </row>
    <row r="48" spans="1:8" ht="12.75" hidden="1">
      <c r="A48" s="1" t="s">
        <v>41</v>
      </c>
      <c r="B48" s="9" t="e">
        <f>#REF!/#REF!</f>
        <v>#REF!</v>
      </c>
      <c r="C48" s="9" t="e">
        <f>#REF!/#REF!</f>
        <v>#REF!</v>
      </c>
      <c r="D48" s="9" t="e">
        <f>#REF!/#REF!</f>
        <v>#REF!</v>
      </c>
      <c r="E48" s="9" t="e">
        <f t="shared" si="4"/>
        <v>#REF!</v>
      </c>
      <c r="F48" s="11" t="e">
        <f t="shared" si="5"/>
        <v>#REF!</v>
      </c>
      <c r="G48" s="8" t="e">
        <f t="shared" si="6"/>
        <v>#REF!</v>
      </c>
      <c r="H48" s="1"/>
    </row>
    <row r="49" spans="1:8" ht="12.75" hidden="1">
      <c r="A49" s="1" t="s">
        <v>42</v>
      </c>
      <c r="B49" s="9" t="e">
        <f>#REF!/#REF!</f>
        <v>#REF!</v>
      </c>
      <c r="C49" s="9" t="e">
        <f>#REF!/#REF!</f>
        <v>#REF!</v>
      </c>
      <c r="D49" s="9" t="e">
        <f>#REF!/#REF!</f>
        <v>#REF!</v>
      </c>
      <c r="E49" s="9" t="e">
        <f t="shared" si="4"/>
        <v>#REF!</v>
      </c>
      <c r="F49" s="11" t="e">
        <f t="shared" si="5"/>
        <v>#REF!</v>
      </c>
      <c r="G49" s="8" t="e">
        <f t="shared" si="6"/>
        <v>#REF!</v>
      </c>
      <c r="H49" s="1"/>
    </row>
    <row r="50" spans="1:8" ht="12.75" hidden="1">
      <c r="A50" s="1" t="s">
        <v>43</v>
      </c>
      <c r="B50" s="9" t="e">
        <f>#REF!/#REF!</f>
        <v>#REF!</v>
      </c>
      <c r="C50" s="9" t="e">
        <f>#REF!/#REF!</f>
        <v>#REF!</v>
      </c>
      <c r="D50" s="9" t="e">
        <f>#REF!/#REF!</f>
        <v>#REF!</v>
      </c>
      <c r="E50" s="9" t="e">
        <f t="shared" si="4"/>
        <v>#REF!</v>
      </c>
      <c r="F50" s="11" t="e">
        <f t="shared" si="5"/>
        <v>#REF!</v>
      </c>
      <c r="G50" s="8" t="e">
        <f t="shared" si="6"/>
        <v>#REF!</v>
      </c>
      <c r="H50" s="1"/>
    </row>
    <row r="51" spans="1:8" ht="12.75" hidden="1">
      <c r="A51" s="1" t="s">
        <v>44</v>
      </c>
      <c r="B51" s="9" t="e">
        <f>#REF!/#REF!</f>
        <v>#REF!</v>
      </c>
      <c r="C51" s="9" t="e">
        <f>#REF!/#REF!</f>
        <v>#REF!</v>
      </c>
      <c r="D51" s="9" t="e">
        <f>#REF!/#REF!</f>
        <v>#REF!</v>
      </c>
      <c r="E51" s="9" t="e">
        <f t="shared" si="4"/>
        <v>#REF!</v>
      </c>
      <c r="F51" s="11" t="e">
        <f t="shared" si="5"/>
        <v>#REF!</v>
      </c>
      <c r="G51" s="8" t="e">
        <f t="shared" si="6"/>
        <v>#REF!</v>
      </c>
      <c r="H51" s="1"/>
    </row>
    <row r="52" spans="1:8" ht="12.75" hidden="1">
      <c r="A52" s="1" t="s">
        <v>45</v>
      </c>
      <c r="B52" s="9" t="e">
        <f>#REF!/#REF!</f>
        <v>#REF!</v>
      </c>
      <c r="C52" s="9" t="e">
        <f>#REF!/#REF!</f>
        <v>#REF!</v>
      </c>
      <c r="D52" s="9" t="e">
        <f>#REF!/#REF!</f>
        <v>#REF!</v>
      </c>
      <c r="E52" s="9" t="e">
        <f t="shared" si="4"/>
        <v>#REF!</v>
      </c>
      <c r="F52" s="11" t="e">
        <f t="shared" si="5"/>
        <v>#REF!</v>
      </c>
      <c r="G52" s="8" t="e">
        <f t="shared" si="6"/>
        <v>#REF!</v>
      </c>
      <c r="H52" s="1"/>
    </row>
    <row r="53" spans="1:8" ht="12.75" hidden="1">
      <c r="A53" s="1" t="s">
        <v>11</v>
      </c>
      <c r="B53" s="9" t="e">
        <f>#REF!/#REF!</f>
        <v>#REF!</v>
      </c>
      <c r="C53" s="9" t="e">
        <f>#REF!/#REF!</f>
        <v>#REF!</v>
      </c>
      <c r="D53" s="9" t="e">
        <f>#REF!/#REF!</f>
        <v>#REF!</v>
      </c>
      <c r="E53" s="9" t="e">
        <f t="shared" si="4"/>
        <v>#REF!</v>
      </c>
      <c r="F53" s="11" t="e">
        <f t="shared" si="5"/>
        <v>#REF!</v>
      </c>
      <c r="G53" s="8" t="e">
        <f t="shared" si="6"/>
        <v>#REF!</v>
      </c>
      <c r="H53" s="1"/>
    </row>
    <row r="54" spans="1:8" ht="12.75" hidden="1">
      <c r="A54" s="1" t="s">
        <v>46</v>
      </c>
      <c r="B54" s="9" t="e">
        <f>#REF!/#REF!</f>
        <v>#REF!</v>
      </c>
      <c r="C54" s="9" t="e">
        <f>#REF!/#REF!</f>
        <v>#REF!</v>
      </c>
      <c r="D54" s="9" t="e">
        <f>#REF!/#REF!</f>
        <v>#REF!</v>
      </c>
      <c r="E54" s="9" t="e">
        <f t="shared" si="4"/>
        <v>#REF!</v>
      </c>
      <c r="F54" s="11" t="e">
        <f t="shared" si="5"/>
        <v>#REF!</v>
      </c>
      <c r="G54" s="8" t="e">
        <f t="shared" si="6"/>
        <v>#REF!</v>
      </c>
      <c r="H54" s="1"/>
    </row>
    <row r="55" spans="1:8" ht="12.75" hidden="1">
      <c r="A55" s="1" t="s">
        <v>47</v>
      </c>
      <c r="B55" s="9" t="e">
        <f>#REF!/#REF!</f>
        <v>#REF!</v>
      </c>
      <c r="C55" s="9" t="e">
        <f>#REF!/#REF!</f>
        <v>#REF!</v>
      </c>
      <c r="D55" s="9" t="e">
        <f>#REF!/#REF!</f>
        <v>#REF!</v>
      </c>
      <c r="E55" s="9" t="e">
        <f t="shared" si="4"/>
        <v>#REF!</v>
      </c>
      <c r="F55" s="11" t="e">
        <f t="shared" si="5"/>
        <v>#REF!</v>
      </c>
      <c r="G55" s="8" t="e">
        <f t="shared" si="6"/>
        <v>#REF!</v>
      </c>
      <c r="H55" s="1"/>
    </row>
    <row r="56" spans="1:8" ht="12.75" hidden="1">
      <c r="A56" s="1" t="s">
        <v>48</v>
      </c>
      <c r="B56" s="9" t="e">
        <f>#REF!/#REF!</f>
        <v>#REF!</v>
      </c>
      <c r="C56" s="9" t="e">
        <f>#REF!/#REF!</f>
        <v>#REF!</v>
      </c>
      <c r="D56" s="9" t="e">
        <f>#REF!/#REF!</f>
        <v>#REF!</v>
      </c>
      <c r="E56" s="9" t="e">
        <f t="shared" si="4"/>
        <v>#REF!</v>
      </c>
      <c r="F56" s="11" t="e">
        <f t="shared" si="5"/>
        <v>#REF!</v>
      </c>
      <c r="G56" s="8" t="e">
        <f t="shared" si="6"/>
        <v>#REF!</v>
      </c>
      <c r="H56" s="1"/>
    </row>
    <row r="57" spans="1:8" ht="12.75" hidden="1">
      <c r="A57" s="1" t="s">
        <v>49</v>
      </c>
      <c r="B57" s="9" t="e">
        <f>#REF!/#REF!</f>
        <v>#REF!</v>
      </c>
      <c r="C57" s="9" t="e">
        <f>#REF!/#REF!</f>
        <v>#REF!</v>
      </c>
      <c r="D57" s="9" t="e">
        <f>#REF!/#REF!</f>
        <v>#REF!</v>
      </c>
      <c r="E57" s="9" t="e">
        <f t="shared" si="4"/>
        <v>#REF!</v>
      </c>
      <c r="F57" s="11" t="e">
        <f t="shared" si="5"/>
        <v>#REF!</v>
      </c>
      <c r="G57" s="8" t="e">
        <f t="shared" si="6"/>
        <v>#REF!</v>
      </c>
      <c r="H57" s="1"/>
    </row>
    <row r="58" spans="1:8" ht="12.75" hidden="1">
      <c r="A58" s="1" t="s">
        <v>50</v>
      </c>
      <c r="B58" s="9" t="e">
        <f>#REF!/#REF!</f>
        <v>#REF!</v>
      </c>
      <c r="C58" s="9" t="e">
        <f>#REF!/#REF!</f>
        <v>#REF!</v>
      </c>
      <c r="D58" s="9" t="e">
        <f>#REF!/#REF!</f>
        <v>#REF!</v>
      </c>
      <c r="E58" s="9" t="e">
        <f t="shared" si="4"/>
        <v>#REF!</v>
      </c>
      <c r="F58" s="11" t="e">
        <f t="shared" si="5"/>
        <v>#REF!</v>
      </c>
      <c r="G58" s="8" t="e">
        <f t="shared" si="6"/>
        <v>#REF!</v>
      </c>
      <c r="H58" s="1"/>
    </row>
    <row r="59" spans="3:8" ht="12.75" hidden="1">
      <c r="C59" s="1"/>
      <c r="H59" s="1"/>
    </row>
    <row r="60" spans="1:8" ht="12.75" hidden="1">
      <c r="A60" s="1" t="s">
        <v>54</v>
      </c>
      <c r="C60" s="1"/>
      <c r="E60" s="14" t="e">
        <f>SUM(E8:E58)</f>
        <v>#REF!</v>
      </c>
      <c r="F60" s="14" t="e">
        <f>SUM(F8:F58)</f>
        <v>#REF!</v>
      </c>
      <c r="G60" s="38" t="e">
        <f>SUM(G8:G58)</f>
        <v>#REF!</v>
      </c>
      <c r="H60" s="1"/>
    </row>
    <row r="61" spans="2:8" ht="12.75" hidden="1">
      <c r="B61" s="13"/>
      <c r="C61" s="8"/>
      <c r="H61" s="8"/>
    </row>
    <row r="62" spans="1:8" ht="12.75" hidden="1">
      <c r="A62" s="1" t="s">
        <v>0</v>
      </c>
      <c r="B62" s="11"/>
      <c r="C62" s="39">
        <f>C4</f>
        <v>100000000</v>
      </c>
      <c r="D62" s="15"/>
      <c r="E62" s="15"/>
      <c r="F62" s="15"/>
      <c r="G62" s="15"/>
      <c r="H62" s="8" t="e">
        <f>C62+#REF!</f>
        <v>#REF!</v>
      </c>
    </row>
    <row r="63" spans="1:8" ht="13.5" hidden="1" thickBot="1">
      <c r="A63" s="1" t="s">
        <v>53</v>
      </c>
      <c r="B63" s="11">
        <v>0.00135428</v>
      </c>
      <c r="C63" s="15">
        <f>$B$63*C62</f>
        <v>135428</v>
      </c>
      <c r="D63" s="15"/>
      <c r="E63" s="15"/>
      <c r="F63" s="15"/>
      <c r="G63" s="15"/>
      <c r="H63" s="8" t="e">
        <f>C63+#REF!</f>
        <v>#REF!</v>
      </c>
    </row>
    <row r="64" spans="1:8" ht="13.5" hidden="1" thickTop="1">
      <c r="A64" s="40" t="s">
        <v>55</v>
      </c>
      <c r="B64" s="40"/>
      <c r="C64" s="41">
        <f>(C62-C63)</f>
        <v>99864572</v>
      </c>
      <c r="D64" s="15"/>
      <c r="E64" s="15"/>
      <c r="F64" s="15"/>
      <c r="G64" s="15"/>
      <c r="H64" s="15" t="e">
        <f>(H62-H63)</f>
        <v>#REF!</v>
      </c>
    </row>
    <row r="65" spans="2:8" ht="12.75" hidden="1">
      <c r="B65" s="11"/>
      <c r="C65" s="8"/>
      <c r="D65" s="15"/>
      <c r="E65" s="15"/>
      <c r="F65" s="15"/>
      <c r="G65" s="15"/>
      <c r="H65" s="8"/>
    </row>
    <row r="66" spans="2:4" ht="12.75" hidden="1">
      <c r="B66" s="34" t="s">
        <v>53</v>
      </c>
      <c r="C66" s="34" t="s">
        <v>99</v>
      </c>
      <c r="D66" s="35" t="s">
        <v>100</v>
      </c>
    </row>
    <row r="67" spans="2:4" ht="12.75" hidden="1">
      <c r="B67" s="36" t="s">
        <v>101</v>
      </c>
      <c r="C67" s="37">
        <v>0.01654258</v>
      </c>
      <c r="D67" s="35">
        <f>ROUND(C67*$C$63,0)</f>
        <v>2240</v>
      </c>
    </row>
    <row r="68" spans="2:4" ht="12.75" hidden="1">
      <c r="B68" s="36" t="s">
        <v>102</v>
      </c>
      <c r="C68" s="37">
        <v>0.03626904</v>
      </c>
      <c r="D68" s="35">
        <f>ROUND(C68*$C$63,0)</f>
        <v>4912</v>
      </c>
    </row>
    <row r="69" spans="2:4" ht="12.75" hidden="1">
      <c r="B69" s="36" t="s">
        <v>103</v>
      </c>
      <c r="C69" s="37">
        <v>0.01259719</v>
      </c>
      <c r="D69" s="35">
        <f>ROUND(C69*$C$63,0)</f>
        <v>1706</v>
      </c>
    </row>
    <row r="70" spans="2:4" ht="12.75" hidden="1">
      <c r="B70" s="36" t="s">
        <v>104</v>
      </c>
      <c r="C70" s="37">
        <v>0.90029483</v>
      </c>
      <c r="D70" s="35">
        <f>ROUND(C70*$C$63,0)</f>
        <v>121925</v>
      </c>
    </row>
    <row r="71" spans="2:4" ht="12.75" hidden="1">
      <c r="B71" s="36" t="s">
        <v>105</v>
      </c>
      <c r="C71" s="37">
        <v>0.03429636</v>
      </c>
      <c r="D71" s="35">
        <f>ROUND(C71*$C$63,0)</f>
        <v>4645</v>
      </c>
    </row>
    <row r="72" spans="2:4" ht="12.75" hidden="1">
      <c r="B72" s="34" t="s">
        <v>0</v>
      </c>
      <c r="C72" s="36"/>
      <c r="D72" s="35">
        <f>SUM(D67:D71)</f>
        <v>135428</v>
      </c>
    </row>
  </sheetData>
  <mergeCells count="2">
    <mergeCell ref="A1:H1"/>
    <mergeCell ref="A2:H2"/>
  </mergeCells>
  <printOptions gridLines="1"/>
  <pageMargins left="0.81" right="0.31" top="0.33" bottom="1" header="1" footer="0.5"/>
  <pageSetup fitToHeight="2" fitToWidth="2"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67"/>
  <sheetViews>
    <sheetView workbookViewId="0" topLeftCell="A68">
      <selection activeCell="D83" sqref="D83"/>
    </sheetView>
  </sheetViews>
  <sheetFormatPr defaultColWidth="9.33203125" defaultRowHeight="12.75"/>
  <cols>
    <col min="1" max="1" width="28.16015625" style="43" customWidth="1"/>
    <col min="2" max="2" width="24.83203125" style="43" customWidth="1"/>
    <col min="3" max="3" width="27.16015625" style="43" customWidth="1"/>
    <col min="4" max="4" width="27" style="43" customWidth="1"/>
    <col min="5" max="16384" width="9.33203125" style="43" customWidth="1"/>
  </cols>
  <sheetData>
    <row r="1" spans="1:2" ht="15" hidden="1">
      <c r="A1" s="126" t="s">
        <v>118</v>
      </c>
      <c r="B1" s="126"/>
    </row>
    <row r="2" spans="1:3" ht="15" hidden="1">
      <c r="A2" s="126" t="s">
        <v>92</v>
      </c>
      <c r="B2" s="126"/>
      <c r="C2" s="42" t="s">
        <v>120</v>
      </c>
    </row>
    <row r="3" ht="15" hidden="1">
      <c r="A3" s="44" t="s">
        <v>117</v>
      </c>
    </row>
    <row r="4" ht="15" hidden="1">
      <c r="A4" s="43" t="str">
        <f>"100% Award of Based on OIL-LPG-NG Low Income Home Energy Usage "</f>
        <v>100% Award of Based on OIL-LPG-NG Low Income Home Energy Usage </v>
      </c>
    </row>
    <row r="5" ht="15" hidden="1">
      <c r="A5" s="44"/>
    </row>
    <row r="6" spans="1:4" ht="15" hidden="1">
      <c r="A6" s="44" t="s">
        <v>88</v>
      </c>
      <c r="B6" s="42" t="s">
        <v>109</v>
      </c>
      <c r="C6" s="42" t="s">
        <v>110</v>
      </c>
      <c r="D6" s="42" t="s">
        <v>111</v>
      </c>
    </row>
    <row r="7" spans="2:4" ht="15" hidden="1">
      <c r="B7" s="42" t="s">
        <v>112</v>
      </c>
      <c r="C7" s="42" t="s">
        <v>113</v>
      </c>
      <c r="D7" s="43" t="s">
        <v>114</v>
      </c>
    </row>
    <row r="8" spans="2:4" ht="15" hidden="1">
      <c r="B8" s="42" t="s">
        <v>115</v>
      </c>
      <c r="C8" s="42"/>
      <c r="D8" s="42" t="s">
        <v>116</v>
      </c>
    </row>
    <row r="9" ht="15" hidden="1"/>
    <row r="10" spans="1:4" ht="15" hidden="1">
      <c r="A10" s="43" t="s">
        <v>12</v>
      </c>
      <c r="B10" s="45" t="e">
        <f>#REF!</f>
        <v>#REF!</v>
      </c>
      <c r="C10" s="45" t="e">
        <f>'#2'!G8</f>
        <v>#REF!</v>
      </c>
      <c r="D10" s="45" t="e">
        <f aca="true" t="shared" si="0" ref="D10:D41">(C10-B10)</f>
        <v>#REF!</v>
      </c>
    </row>
    <row r="11" spans="1:4" ht="15" hidden="1">
      <c r="A11" s="43" t="s">
        <v>1</v>
      </c>
      <c r="B11" s="45" t="e">
        <f>#REF!</f>
        <v>#REF!</v>
      </c>
      <c r="C11" s="45" t="e">
        <f>'#2'!G9</f>
        <v>#REF!</v>
      </c>
      <c r="D11" s="45" t="e">
        <f t="shared" si="0"/>
        <v>#REF!</v>
      </c>
    </row>
    <row r="12" spans="1:4" ht="15" hidden="1">
      <c r="A12" s="43" t="s">
        <v>13</v>
      </c>
      <c r="B12" s="45" t="e">
        <f>#REF!</f>
        <v>#REF!</v>
      </c>
      <c r="C12" s="45" t="e">
        <f>'#2'!G10</f>
        <v>#REF!</v>
      </c>
      <c r="D12" s="45" t="e">
        <f t="shared" si="0"/>
        <v>#REF!</v>
      </c>
    </row>
    <row r="13" spans="1:4" ht="15" hidden="1">
      <c r="A13" s="43" t="s">
        <v>14</v>
      </c>
      <c r="B13" s="45" t="e">
        <f>#REF!</f>
        <v>#REF!</v>
      </c>
      <c r="C13" s="45" t="e">
        <f>'#2'!G11</f>
        <v>#REF!</v>
      </c>
      <c r="D13" s="45" t="e">
        <f t="shared" si="0"/>
        <v>#REF!</v>
      </c>
    </row>
    <row r="14" spans="1:4" s="46" customFormat="1" ht="15.75" hidden="1">
      <c r="A14" s="46" t="s">
        <v>15</v>
      </c>
      <c r="B14" s="45" t="e">
        <f>#REF!</f>
        <v>#REF!</v>
      </c>
      <c r="C14" s="45" t="e">
        <f>'#2'!G12</f>
        <v>#REF!</v>
      </c>
      <c r="D14" s="45" t="e">
        <f t="shared" si="0"/>
        <v>#REF!</v>
      </c>
    </row>
    <row r="15" spans="1:4" ht="15" hidden="1">
      <c r="A15" s="43" t="s">
        <v>16</v>
      </c>
      <c r="B15" s="45" t="e">
        <f>#REF!</f>
        <v>#REF!</v>
      </c>
      <c r="C15" s="45" t="e">
        <f>'#2'!G13</f>
        <v>#REF!</v>
      </c>
      <c r="D15" s="45" t="e">
        <f t="shared" si="0"/>
        <v>#REF!</v>
      </c>
    </row>
    <row r="16" spans="1:4" ht="15" hidden="1">
      <c r="A16" s="43" t="s">
        <v>2</v>
      </c>
      <c r="B16" s="45" t="e">
        <f>#REF!</f>
        <v>#REF!</v>
      </c>
      <c r="C16" s="45" t="e">
        <f>'#2'!G14</f>
        <v>#REF!</v>
      </c>
      <c r="D16" s="45" t="e">
        <f t="shared" si="0"/>
        <v>#REF!</v>
      </c>
    </row>
    <row r="17" spans="1:4" ht="15" hidden="1">
      <c r="A17" s="43" t="s">
        <v>3</v>
      </c>
      <c r="B17" s="45" t="e">
        <f>#REF!</f>
        <v>#REF!</v>
      </c>
      <c r="C17" s="45" t="e">
        <f>'#2'!G15</f>
        <v>#REF!</v>
      </c>
      <c r="D17" s="45" t="e">
        <f t="shared" si="0"/>
        <v>#REF!</v>
      </c>
    </row>
    <row r="18" spans="1:4" ht="15" hidden="1">
      <c r="A18" s="43" t="s">
        <v>51</v>
      </c>
      <c r="B18" s="45" t="e">
        <f>#REF!</f>
        <v>#REF!</v>
      </c>
      <c r="C18" s="45" t="e">
        <f>'#2'!G16</f>
        <v>#REF!</v>
      </c>
      <c r="D18" s="45" t="e">
        <f t="shared" si="0"/>
        <v>#REF!</v>
      </c>
    </row>
    <row r="19" spans="1:4" ht="15" hidden="1">
      <c r="A19" s="43" t="s">
        <v>17</v>
      </c>
      <c r="B19" s="45" t="e">
        <f>#REF!</f>
        <v>#REF!</v>
      </c>
      <c r="C19" s="45" t="e">
        <f>'#2'!G17</f>
        <v>#REF!</v>
      </c>
      <c r="D19" s="45" t="e">
        <f t="shared" si="0"/>
        <v>#REF!</v>
      </c>
    </row>
    <row r="20" spans="1:4" ht="15" hidden="1">
      <c r="A20" s="43" t="s">
        <v>18</v>
      </c>
      <c r="B20" s="45" t="e">
        <f>#REF!</f>
        <v>#REF!</v>
      </c>
      <c r="C20" s="45" t="e">
        <f>'#2'!G18</f>
        <v>#REF!</v>
      </c>
      <c r="D20" s="45" t="e">
        <f t="shared" si="0"/>
        <v>#REF!</v>
      </c>
    </row>
    <row r="21" spans="1:4" ht="15" hidden="1">
      <c r="A21" s="43" t="s">
        <v>19</v>
      </c>
      <c r="B21" s="45" t="e">
        <f>#REF!</f>
        <v>#REF!</v>
      </c>
      <c r="C21" s="45" t="e">
        <f>'#2'!G19</f>
        <v>#REF!</v>
      </c>
      <c r="D21" s="45" t="e">
        <f t="shared" si="0"/>
        <v>#REF!</v>
      </c>
    </row>
    <row r="22" spans="1:4" ht="15" hidden="1">
      <c r="A22" s="43" t="s">
        <v>20</v>
      </c>
      <c r="B22" s="45" t="e">
        <f>#REF!</f>
        <v>#REF!</v>
      </c>
      <c r="C22" s="45" t="e">
        <f>'#2'!G20</f>
        <v>#REF!</v>
      </c>
      <c r="D22" s="45" t="e">
        <f t="shared" si="0"/>
        <v>#REF!</v>
      </c>
    </row>
    <row r="23" spans="1:4" s="46" customFormat="1" ht="15.75" hidden="1">
      <c r="A23" s="46" t="s">
        <v>21</v>
      </c>
      <c r="B23" s="45" t="e">
        <f>#REF!</f>
        <v>#REF!</v>
      </c>
      <c r="C23" s="45" t="e">
        <f>'#2'!G21</f>
        <v>#REF!</v>
      </c>
      <c r="D23" s="45" t="e">
        <f t="shared" si="0"/>
        <v>#REF!</v>
      </c>
    </row>
    <row r="24" spans="1:4" ht="15.75" hidden="1">
      <c r="A24" s="46" t="s">
        <v>22</v>
      </c>
      <c r="B24" s="45" t="e">
        <f>#REF!</f>
        <v>#REF!</v>
      </c>
      <c r="C24" s="45" t="e">
        <f>'#2'!G22</f>
        <v>#REF!</v>
      </c>
      <c r="D24" s="45" t="e">
        <f t="shared" si="0"/>
        <v>#REF!</v>
      </c>
    </row>
    <row r="25" spans="1:4" ht="15" hidden="1">
      <c r="A25" s="43" t="s">
        <v>23</v>
      </c>
      <c r="B25" s="45" t="e">
        <f>#REF!</f>
        <v>#REF!</v>
      </c>
      <c r="C25" s="45" t="e">
        <f>'#2'!G23</f>
        <v>#REF!</v>
      </c>
      <c r="D25" s="45" t="e">
        <f t="shared" si="0"/>
        <v>#REF!</v>
      </c>
    </row>
    <row r="26" spans="1:4" ht="15" hidden="1">
      <c r="A26" s="43" t="s">
        <v>24</v>
      </c>
      <c r="B26" s="45" t="e">
        <f>#REF!</f>
        <v>#REF!</v>
      </c>
      <c r="C26" s="45" t="e">
        <f>'#2'!G24</f>
        <v>#REF!</v>
      </c>
      <c r="D26" s="45" t="e">
        <f t="shared" si="0"/>
        <v>#REF!</v>
      </c>
    </row>
    <row r="27" spans="1:4" ht="15" hidden="1">
      <c r="A27" s="43" t="s">
        <v>25</v>
      </c>
      <c r="B27" s="45" t="e">
        <f>#REF!</f>
        <v>#REF!</v>
      </c>
      <c r="C27" s="45" t="e">
        <f>'#2'!G25</f>
        <v>#REF!</v>
      </c>
      <c r="D27" s="45" t="e">
        <f t="shared" si="0"/>
        <v>#REF!</v>
      </c>
    </row>
    <row r="28" spans="1:4" ht="15" hidden="1">
      <c r="A28" s="43" t="s">
        <v>26</v>
      </c>
      <c r="B28" s="45" t="e">
        <f>#REF!</f>
        <v>#REF!</v>
      </c>
      <c r="C28" s="45" t="e">
        <f>'#2'!G26</f>
        <v>#REF!</v>
      </c>
      <c r="D28" s="45" t="e">
        <f t="shared" si="0"/>
        <v>#REF!</v>
      </c>
    </row>
    <row r="29" spans="1:4" ht="15" hidden="1">
      <c r="A29" s="43" t="s">
        <v>4</v>
      </c>
      <c r="B29" s="45" t="e">
        <f>#REF!</f>
        <v>#REF!</v>
      </c>
      <c r="C29" s="45" t="e">
        <f>'#2'!G27</f>
        <v>#REF!</v>
      </c>
      <c r="D29" s="45" t="e">
        <f t="shared" si="0"/>
        <v>#REF!</v>
      </c>
    </row>
    <row r="30" spans="1:4" ht="15" hidden="1">
      <c r="A30" s="43" t="s">
        <v>27</v>
      </c>
      <c r="B30" s="45" t="e">
        <f>#REF!</f>
        <v>#REF!</v>
      </c>
      <c r="C30" s="45" t="e">
        <f>'#2'!G28</f>
        <v>#REF!</v>
      </c>
      <c r="D30" s="45" t="e">
        <f t="shared" si="0"/>
        <v>#REF!</v>
      </c>
    </row>
    <row r="31" spans="1:4" ht="15.75" hidden="1">
      <c r="A31" s="46" t="s">
        <v>5</v>
      </c>
      <c r="B31" s="45" t="e">
        <f>#REF!</f>
        <v>#REF!</v>
      </c>
      <c r="C31" s="45" t="e">
        <f>'#2'!G29</f>
        <v>#REF!</v>
      </c>
      <c r="D31" s="45" t="e">
        <f t="shared" si="0"/>
        <v>#REF!</v>
      </c>
    </row>
    <row r="32" spans="1:4" s="46" customFormat="1" ht="15.75" hidden="1">
      <c r="A32" s="46" t="s">
        <v>28</v>
      </c>
      <c r="B32" s="45" t="e">
        <f>#REF!</f>
        <v>#REF!</v>
      </c>
      <c r="C32" s="45" t="e">
        <f>'#2'!G30</f>
        <v>#REF!</v>
      </c>
      <c r="D32" s="45" t="e">
        <f t="shared" si="0"/>
        <v>#REF!</v>
      </c>
    </row>
    <row r="33" spans="1:4" ht="15.75" hidden="1">
      <c r="A33" s="46" t="s">
        <v>29</v>
      </c>
      <c r="B33" s="45" t="e">
        <f>#REF!</f>
        <v>#REF!</v>
      </c>
      <c r="C33" s="45" t="e">
        <f>'#2'!G31</f>
        <v>#REF!</v>
      </c>
      <c r="D33" s="45" t="e">
        <f t="shared" si="0"/>
        <v>#REF!</v>
      </c>
    </row>
    <row r="34" spans="1:4" ht="15" hidden="1">
      <c r="A34" s="43" t="s">
        <v>30</v>
      </c>
      <c r="B34" s="45" t="e">
        <f>#REF!</f>
        <v>#REF!</v>
      </c>
      <c r="C34" s="45" t="e">
        <f>'#2'!G32</f>
        <v>#REF!</v>
      </c>
      <c r="D34" s="45" t="e">
        <f t="shared" si="0"/>
        <v>#REF!</v>
      </c>
    </row>
    <row r="35" spans="1:4" ht="15.75" hidden="1">
      <c r="A35" s="46" t="s">
        <v>31</v>
      </c>
      <c r="B35" s="45" t="e">
        <f>#REF!</f>
        <v>#REF!</v>
      </c>
      <c r="C35" s="45" t="e">
        <f>'#2'!G33</f>
        <v>#REF!</v>
      </c>
      <c r="D35" s="45" t="e">
        <f t="shared" si="0"/>
        <v>#REF!</v>
      </c>
    </row>
    <row r="36" spans="1:4" ht="15" hidden="1">
      <c r="A36" s="43" t="s">
        <v>32</v>
      </c>
      <c r="B36" s="45" t="e">
        <f>#REF!</f>
        <v>#REF!</v>
      </c>
      <c r="C36" s="45" t="e">
        <f>'#2'!G34</f>
        <v>#REF!</v>
      </c>
      <c r="D36" s="45" t="e">
        <f t="shared" si="0"/>
        <v>#REF!</v>
      </c>
    </row>
    <row r="37" spans="1:4" ht="15" hidden="1">
      <c r="A37" s="43" t="s">
        <v>33</v>
      </c>
      <c r="B37" s="45" t="e">
        <f>#REF!</f>
        <v>#REF!</v>
      </c>
      <c r="C37" s="45" t="e">
        <f>'#2'!G35</f>
        <v>#REF!</v>
      </c>
      <c r="D37" s="45" t="e">
        <f t="shared" si="0"/>
        <v>#REF!</v>
      </c>
    </row>
    <row r="38" spans="1:4" ht="15" hidden="1">
      <c r="A38" s="43" t="s">
        <v>34</v>
      </c>
      <c r="B38" s="45" t="e">
        <f>#REF!</f>
        <v>#REF!</v>
      </c>
      <c r="C38" s="45" t="e">
        <f>'#2'!G36</f>
        <v>#REF!</v>
      </c>
      <c r="D38" s="45" t="e">
        <f t="shared" si="0"/>
        <v>#REF!</v>
      </c>
    </row>
    <row r="39" spans="1:4" ht="15" hidden="1">
      <c r="A39" s="43" t="s">
        <v>6</v>
      </c>
      <c r="B39" s="45" t="e">
        <f>#REF!</f>
        <v>#REF!</v>
      </c>
      <c r="C39" s="45" t="e">
        <f>'#2'!G37</f>
        <v>#REF!</v>
      </c>
      <c r="D39" s="45" t="e">
        <f t="shared" si="0"/>
        <v>#REF!</v>
      </c>
    </row>
    <row r="40" spans="1:4" ht="15.75" hidden="1">
      <c r="A40" s="46" t="s">
        <v>7</v>
      </c>
      <c r="B40" s="45" t="e">
        <f>#REF!</f>
        <v>#REF!</v>
      </c>
      <c r="C40" s="45" t="e">
        <f>'#2'!G38</f>
        <v>#REF!</v>
      </c>
      <c r="D40" s="45" t="e">
        <f t="shared" si="0"/>
        <v>#REF!</v>
      </c>
    </row>
    <row r="41" spans="1:4" ht="15" hidden="1">
      <c r="A41" s="43" t="s">
        <v>35</v>
      </c>
      <c r="B41" s="45" t="e">
        <f>#REF!</f>
        <v>#REF!</v>
      </c>
      <c r="C41" s="45" t="e">
        <f>'#2'!G39</f>
        <v>#REF!</v>
      </c>
      <c r="D41" s="45" t="e">
        <f t="shared" si="0"/>
        <v>#REF!</v>
      </c>
    </row>
    <row r="42" spans="1:4" s="46" customFormat="1" ht="15.75" hidden="1">
      <c r="A42" s="46" t="s">
        <v>8</v>
      </c>
      <c r="B42" s="45" t="e">
        <f>#REF!</f>
        <v>#REF!</v>
      </c>
      <c r="C42" s="45" t="e">
        <f>'#2'!G40</f>
        <v>#REF!</v>
      </c>
      <c r="D42" s="45" t="e">
        <f aca="true" t="shared" si="1" ref="D42:D60">(C42-B42)</f>
        <v>#REF!</v>
      </c>
    </row>
    <row r="43" spans="1:4" ht="15" hidden="1">
      <c r="A43" s="43" t="s">
        <v>36</v>
      </c>
      <c r="B43" s="45" t="e">
        <f>#REF!</f>
        <v>#REF!</v>
      </c>
      <c r="C43" s="45" t="e">
        <f>'#2'!G41</f>
        <v>#REF!</v>
      </c>
      <c r="D43" s="45" t="e">
        <f t="shared" si="1"/>
        <v>#REF!</v>
      </c>
    </row>
    <row r="44" spans="1:4" ht="15" hidden="1">
      <c r="A44" s="43" t="s">
        <v>37</v>
      </c>
      <c r="B44" s="45" t="e">
        <f>#REF!</f>
        <v>#REF!</v>
      </c>
      <c r="C44" s="45" t="e">
        <f>'#2'!G42</f>
        <v>#REF!</v>
      </c>
      <c r="D44" s="45" t="e">
        <f t="shared" si="1"/>
        <v>#REF!</v>
      </c>
    </row>
    <row r="45" spans="1:4" ht="15.75" hidden="1">
      <c r="A45" s="46" t="s">
        <v>38</v>
      </c>
      <c r="B45" s="45" t="e">
        <f>#REF!</f>
        <v>#REF!</v>
      </c>
      <c r="C45" s="45" t="e">
        <f>'#2'!G43</f>
        <v>#REF!</v>
      </c>
      <c r="D45" s="45" t="e">
        <f t="shared" si="1"/>
        <v>#REF!</v>
      </c>
    </row>
    <row r="46" spans="1:4" ht="15" hidden="1">
      <c r="A46" s="43" t="s">
        <v>39</v>
      </c>
      <c r="B46" s="45" t="e">
        <f>#REF!</f>
        <v>#REF!</v>
      </c>
      <c r="C46" s="45" t="e">
        <f>'#2'!G44</f>
        <v>#REF!</v>
      </c>
      <c r="D46" s="45" t="e">
        <f t="shared" si="1"/>
        <v>#REF!</v>
      </c>
    </row>
    <row r="47" spans="1:4" ht="15" hidden="1">
      <c r="A47" s="43" t="s">
        <v>40</v>
      </c>
      <c r="B47" s="45" t="e">
        <f>#REF!</f>
        <v>#REF!</v>
      </c>
      <c r="C47" s="45" t="e">
        <f>'#2'!G45</f>
        <v>#REF!</v>
      </c>
      <c r="D47" s="45" t="e">
        <f t="shared" si="1"/>
        <v>#REF!</v>
      </c>
    </row>
    <row r="48" spans="1:4" s="46" customFormat="1" ht="15.75" hidden="1">
      <c r="A48" s="46" t="s">
        <v>9</v>
      </c>
      <c r="B48" s="45" t="e">
        <f>#REF!</f>
        <v>#REF!</v>
      </c>
      <c r="C48" s="45" t="e">
        <f>'#2'!G46</f>
        <v>#REF!</v>
      </c>
      <c r="D48" s="45" t="e">
        <f t="shared" si="1"/>
        <v>#REF!</v>
      </c>
    </row>
    <row r="49" spans="1:4" ht="15" hidden="1">
      <c r="A49" s="43" t="s">
        <v>10</v>
      </c>
      <c r="B49" s="45" t="e">
        <f>#REF!</f>
        <v>#REF!</v>
      </c>
      <c r="C49" s="45" t="e">
        <f>'#2'!G47</f>
        <v>#REF!</v>
      </c>
      <c r="D49" s="45" t="e">
        <f t="shared" si="1"/>
        <v>#REF!</v>
      </c>
    </row>
    <row r="50" spans="1:4" ht="15" hidden="1">
      <c r="A50" s="43" t="s">
        <v>41</v>
      </c>
      <c r="B50" s="45" t="e">
        <f>#REF!</f>
        <v>#REF!</v>
      </c>
      <c r="C50" s="45" t="e">
        <f>'#2'!G48</f>
        <v>#REF!</v>
      </c>
      <c r="D50" s="45" t="e">
        <f t="shared" si="1"/>
        <v>#REF!</v>
      </c>
    </row>
    <row r="51" spans="1:4" ht="15" hidden="1">
      <c r="A51" s="43" t="s">
        <v>42</v>
      </c>
      <c r="B51" s="45" t="e">
        <f>#REF!</f>
        <v>#REF!</v>
      </c>
      <c r="C51" s="45" t="e">
        <f>'#2'!G49</f>
        <v>#REF!</v>
      </c>
      <c r="D51" s="45" t="e">
        <f t="shared" si="1"/>
        <v>#REF!</v>
      </c>
    </row>
    <row r="52" spans="1:4" ht="15" hidden="1">
      <c r="A52" s="43" t="s">
        <v>43</v>
      </c>
      <c r="B52" s="45" t="e">
        <f>#REF!</f>
        <v>#REF!</v>
      </c>
      <c r="C52" s="45" t="e">
        <f>'#2'!G50</f>
        <v>#REF!</v>
      </c>
      <c r="D52" s="45" t="e">
        <f t="shared" si="1"/>
        <v>#REF!</v>
      </c>
    </row>
    <row r="53" spans="1:4" ht="15.75" hidden="1">
      <c r="A53" s="46" t="s">
        <v>44</v>
      </c>
      <c r="B53" s="45" t="e">
        <f>#REF!</f>
        <v>#REF!</v>
      </c>
      <c r="C53" s="45" t="e">
        <f>'#2'!G51</f>
        <v>#REF!</v>
      </c>
      <c r="D53" s="45" t="e">
        <f t="shared" si="1"/>
        <v>#REF!</v>
      </c>
    </row>
    <row r="54" spans="1:4" ht="15" hidden="1">
      <c r="A54" s="43" t="s">
        <v>45</v>
      </c>
      <c r="B54" s="45" t="e">
        <f>#REF!</f>
        <v>#REF!</v>
      </c>
      <c r="C54" s="45" t="e">
        <f>'#2'!G52</f>
        <v>#REF!</v>
      </c>
      <c r="D54" s="45" t="e">
        <f t="shared" si="1"/>
        <v>#REF!</v>
      </c>
    </row>
    <row r="55" spans="1:4" ht="15" hidden="1">
      <c r="A55" s="43" t="s">
        <v>11</v>
      </c>
      <c r="B55" s="45" t="e">
        <f>#REF!</f>
        <v>#REF!</v>
      </c>
      <c r="C55" s="45" t="e">
        <f>'#2'!G53</f>
        <v>#REF!</v>
      </c>
      <c r="D55" s="45" t="e">
        <f t="shared" si="1"/>
        <v>#REF!</v>
      </c>
    </row>
    <row r="56" spans="1:4" ht="15" hidden="1">
      <c r="A56" s="43" t="s">
        <v>46</v>
      </c>
      <c r="B56" s="45" t="e">
        <f>#REF!</f>
        <v>#REF!</v>
      </c>
      <c r="C56" s="45" t="e">
        <f>'#2'!G54</f>
        <v>#REF!</v>
      </c>
      <c r="D56" s="45" t="e">
        <f t="shared" si="1"/>
        <v>#REF!</v>
      </c>
    </row>
    <row r="57" spans="1:4" ht="15" hidden="1">
      <c r="A57" s="43" t="s">
        <v>47</v>
      </c>
      <c r="B57" s="45" t="e">
        <f>#REF!</f>
        <v>#REF!</v>
      </c>
      <c r="C57" s="45" t="e">
        <f>'#2'!G55</f>
        <v>#REF!</v>
      </c>
      <c r="D57" s="45" t="e">
        <f t="shared" si="1"/>
        <v>#REF!</v>
      </c>
    </row>
    <row r="58" spans="1:4" ht="15" hidden="1">
      <c r="A58" s="43" t="s">
        <v>48</v>
      </c>
      <c r="B58" s="45" t="e">
        <f>#REF!</f>
        <v>#REF!</v>
      </c>
      <c r="C58" s="45" t="e">
        <f>'#2'!G56</f>
        <v>#REF!</v>
      </c>
      <c r="D58" s="45" t="e">
        <f t="shared" si="1"/>
        <v>#REF!</v>
      </c>
    </row>
    <row r="59" spans="1:4" ht="15.75" hidden="1">
      <c r="A59" s="46" t="s">
        <v>49</v>
      </c>
      <c r="B59" s="45" t="e">
        <f>#REF!</f>
        <v>#REF!</v>
      </c>
      <c r="C59" s="45" t="e">
        <f>'#2'!G57</f>
        <v>#REF!</v>
      </c>
      <c r="D59" s="45" t="e">
        <f t="shared" si="1"/>
        <v>#REF!</v>
      </c>
    </row>
    <row r="60" spans="1:4" ht="15" hidden="1">
      <c r="A60" s="43" t="s">
        <v>50</v>
      </c>
      <c r="B60" s="45" t="e">
        <f>#REF!</f>
        <v>#REF!</v>
      </c>
      <c r="C60" s="45" t="e">
        <f>'#2'!G58</f>
        <v>#REF!</v>
      </c>
      <c r="D60" s="45" t="e">
        <f t="shared" si="1"/>
        <v>#REF!</v>
      </c>
    </row>
    <row r="61" ht="15" hidden="1"/>
    <row r="62" spans="1:3" ht="15" hidden="1">
      <c r="A62" s="42" t="s">
        <v>54</v>
      </c>
      <c r="B62" s="45" t="e">
        <f>SUM(B10:B60)</f>
        <v>#REF!</v>
      </c>
      <c r="C62" s="45" t="e">
        <f>SUM(C10:C60)</f>
        <v>#REF!</v>
      </c>
    </row>
    <row r="63" spans="1:3" ht="15" hidden="1">
      <c r="A63" s="42" t="s">
        <v>53</v>
      </c>
      <c r="B63" s="45">
        <v>135428</v>
      </c>
      <c r="C63" s="45">
        <v>135428</v>
      </c>
    </row>
    <row r="64" spans="1:3" ht="15" hidden="1">
      <c r="A64" s="42" t="s">
        <v>0</v>
      </c>
      <c r="B64" s="45">
        <f>'#4'!C7</f>
        <v>203350000</v>
      </c>
      <c r="C64" s="45"/>
    </row>
    <row r="65" spans="1:3" ht="15" hidden="1">
      <c r="A65" s="42" t="s">
        <v>53</v>
      </c>
      <c r="B65" s="45" t="e">
        <f>#REF!</f>
        <v>#REF!</v>
      </c>
      <c r="C65" s="45"/>
    </row>
    <row r="66" spans="1:3" ht="15" hidden="1">
      <c r="A66" s="42" t="s">
        <v>55</v>
      </c>
      <c r="B66" s="45" t="e">
        <f>B64-B65</f>
        <v>#REF!</v>
      </c>
      <c r="C66" s="45"/>
    </row>
    <row r="67" spans="1:3" ht="15" hidden="1">
      <c r="A67" s="42" t="s">
        <v>121</v>
      </c>
      <c r="B67" s="45">
        <v>100000000</v>
      </c>
      <c r="C67" s="45">
        <v>100000000</v>
      </c>
    </row>
  </sheetData>
  <mergeCells count="2">
    <mergeCell ref="A1:B1"/>
    <mergeCell ref="A2:B2"/>
  </mergeCells>
  <conditionalFormatting sqref="D10:D60">
    <cfRule type="cellIs" priority="1" dxfId="0" operator="lessThan" stopIfTrue="1">
      <formula>0</formula>
    </cfRule>
  </conditionalFormatting>
  <printOptions gridLines="1"/>
  <pageMargins left="1.74" right="0.75" top="0.42" bottom="0.65" header="0.5" footer="0.5"/>
  <pageSetup fitToHeight="1" fitToWidth="1" horizontalDpi="600" verticalDpi="600" orientation="portrait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A1:C7"/>
  <sheetViews>
    <sheetView workbookViewId="0" topLeftCell="A8">
      <selection activeCell="A1" sqref="A1"/>
    </sheetView>
  </sheetViews>
  <sheetFormatPr defaultColWidth="9.33203125" defaultRowHeight="12.75"/>
  <cols>
    <col min="1" max="1" width="9.33203125" style="1" customWidth="1"/>
    <col min="2" max="2" width="22.33203125" style="29" bestFit="1" customWidth="1"/>
    <col min="3" max="4" width="15" style="1" bestFit="1" customWidth="1"/>
    <col min="5" max="16384" width="9.33203125" style="1" customWidth="1"/>
  </cols>
  <sheetData>
    <row r="1" ht="12.75" hidden="1">
      <c r="A1" s="1" t="s">
        <v>93</v>
      </c>
    </row>
    <row r="2" ht="12.75" hidden="1"/>
    <row r="3" spans="2:3" ht="12.75" hidden="1">
      <c r="B3" s="29" t="s">
        <v>94</v>
      </c>
      <c r="C3" s="30">
        <v>183000000</v>
      </c>
    </row>
    <row r="4" spans="2:3" ht="12.75" hidden="1">
      <c r="B4" s="31" t="s">
        <v>95</v>
      </c>
      <c r="C4" s="13">
        <v>0</v>
      </c>
    </row>
    <row r="5" spans="2:3" ht="12.75" hidden="1">
      <c r="B5" s="29" t="s">
        <v>96</v>
      </c>
      <c r="C5" s="30">
        <f>C3*(1-C4)</f>
        <v>183000000</v>
      </c>
    </row>
    <row r="6" spans="2:3" ht="12.75" hidden="1">
      <c r="B6" s="29" t="s">
        <v>97</v>
      </c>
      <c r="C6" s="30">
        <v>20350000</v>
      </c>
    </row>
    <row r="7" spans="2:3" ht="25.5" hidden="1">
      <c r="B7" s="32" t="s">
        <v>98</v>
      </c>
      <c r="C7" s="33">
        <f>C5+C6</f>
        <v>203350000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QSystem Authorized Customer</dc:creator>
  <cp:keywords/>
  <dc:description/>
  <cp:lastModifiedBy>USER</cp:lastModifiedBy>
  <cp:lastPrinted>2006-01-05T16:41:36Z</cp:lastPrinted>
  <dcterms:created xsi:type="dcterms:W3CDTF">2000-01-27T22:30:38Z</dcterms:created>
  <dcterms:modified xsi:type="dcterms:W3CDTF">2006-01-05T17:40:55Z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