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65" windowHeight="12360" activeTab="0"/>
  </bookViews>
  <sheets>
    <sheet name="FY 09 State Allotments" sheetId="1" r:id="rId1"/>
    <sheet name="FY 09 Tribes" sheetId="2" r:id="rId2"/>
    <sheet name="FY09 Gross Allco" sheetId="3" r:id="rId3"/>
    <sheet name="FY09_$3.67B_OldFormula" sheetId="4" r:id="rId4"/>
    <sheet name="FY09_$840M_NewFormula" sheetId="5" r:id="rId5"/>
  </sheets>
  <definedNames>
    <definedName name="_Fill" hidden="1">#REF!</definedName>
    <definedName name="Colorado_River_AZ">'FY 09 Tribes'!$G$29</definedName>
    <definedName name="Colorado_River_CA">'FY 09 Tribes'!$G$40</definedName>
    <definedName name="Navajo_AZ">'FY 09 Tribes'!$G$32</definedName>
    <definedName name="Navajo_NM">'FY 09 Tribes'!$G$100</definedName>
    <definedName name="Navajo_UT">'FY 09 Tribes'!$G$166</definedName>
    <definedName name="NCIDC_AZ">'FY 09 Tribes'!$G$31</definedName>
    <definedName name="NCIDC_CA">'FY 09 Tribes'!$G$47</definedName>
    <definedName name="Poarch_AL">'FY 09 Tribes'!$G$15</definedName>
    <definedName name="Poarch_FL">'FY 09 Tribes'!$G$62</definedName>
    <definedName name="Pokagon_IA">'FY 09 Tribes'!$G$68</definedName>
    <definedName name="Pokagon_MI">'FY 09 Tribes'!$G$84</definedName>
    <definedName name="_xlnm.Print_Area" localSheetId="1">'FY 09 Tribes'!$A$1:$J$193</definedName>
    <definedName name="_xlnm.Print_Area" localSheetId="3">'FY09_$3.67B_OldFormula'!$A$1:$C$81</definedName>
    <definedName name="_xlnm.Print_Area" localSheetId="4">'FY09_$840M_NewFormula'!$A$1:$P$81</definedName>
    <definedName name="Print_Area_MI" localSheetId="3">'FY09_$3.67B_OldFormula'!$A$4:$N$79</definedName>
    <definedName name="Print_Area_MI" localSheetId="4">'FY09_$840M_NewFormula'!$A$4:$N$79</definedName>
    <definedName name="PRINT_AREA_MI">#REF!</definedName>
    <definedName name="_xlnm.Print_Titles" localSheetId="0">'FY 09 State Allotments'!$1:$6</definedName>
    <definedName name="_xlnm.Print_Titles" localSheetId="1">'FY 09 Tribes'!$A:$A,'FY 09 Tribes'!$1:$11</definedName>
    <definedName name="_xlnm.Print_Titles" localSheetId="2">'FY09 Gross Allco'!$A:$A,'FY09 Gross Allco'!$1:$8</definedName>
    <definedName name="_xlnm.Print_Titles" localSheetId="3">'FY09_$3.67B_OldFormula'!$A:$A,'FY09_$3.67B_OldFormula'!$1:$6</definedName>
    <definedName name="_xlnm.Print_Titles" localSheetId="4">'FY09_$840M_NewFormula'!$A:$A,'FY09_$840M_NewFormula'!$1:$6</definedName>
    <definedName name="Quechan_AZ">'FY 09 Tribes'!$G$34</definedName>
    <definedName name="Quechan_CA">'FY 09 Tribes'!$G$51</definedName>
    <definedName name="solver_adj" localSheetId="3" hidden="1">'FY09_$3.67B_OldFormula'!$C$3</definedName>
    <definedName name="solver_adj" localSheetId="4" hidden="1">'FY09_$840M_NewFormula'!$C$3</definedName>
    <definedName name="solver_cvg" localSheetId="3" hidden="1">0.0000001</definedName>
    <definedName name="solver_cvg" localSheetId="4" hidden="1">0.0000001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'FY09_$3.67B_OldFormula'!$B$70</definedName>
    <definedName name="solver_lhs1" localSheetId="4" hidden="1">'FY09_$840M_NewFormula'!$E$70</definedName>
    <definedName name="solver_lhs2" localSheetId="3" hidden="1">'FY09_$3.67B_OldFormula'!$E$80</definedName>
    <definedName name="solver_lhs2" localSheetId="4" hidden="1">'FY09_$840M_NewFormula'!$E$80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1</definedName>
    <definedName name="solver_num" localSheetId="4" hidden="1">1</definedName>
    <definedName name="solver_nwt" localSheetId="3" hidden="1">1</definedName>
    <definedName name="solver_nwt" localSheetId="4" hidden="1">1</definedName>
    <definedName name="solver_opt" localSheetId="3" hidden="1">'FY09_$3.67B_OldFormula'!$E$2</definedName>
    <definedName name="solver_opt" localSheetId="4" hidden="1">'FY09_$840M_NewFormula'!$E$2</definedName>
    <definedName name="solver_pre" localSheetId="3" hidden="1">0.000000001</definedName>
    <definedName name="solver_pre" localSheetId="4" hidden="1">0.000000001</definedName>
    <definedName name="solver_rel1" localSheetId="3" hidden="1">2</definedName>
    <definedName name="solver_rel1" localSheetId="4" hidden="1">2</definedName>
    <definedName name="solver_rel2" localSheetId="3" hidden="1">3</definedName>
    <definedName name="solver_rel2" localSheetId="4" hidden="1">3</definedName>
    <definedName name="solver_rhs1" localSheetId="3" hidden="1">'FY09_$3.67B_OldFormula'!$F$60</definedName>
    <definedName name="solver_rhs1" localSheetId="4" hidden="1">'FY09_$840M_NewFormula'!$F$60</definedName>
    <definedName name="solver_rhs2" localSheetId="3" hidden="1">0</definedName>
    <definedName name="solver_rhs2" localSheetId="4" hidden="1">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0.001</definedName>
    <definedName name="solver_tol" localSheetId="4" hidden="1">0.001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  <definedName name="Standing_Rock_ND">'FY 09 Tribes'!$G$112</definedName>
    <definedName name="Standing_Rock_SD">'FY 09 Tribes'!$G$163</definedName>
    <definedName name="United_Tribes_KS">'FY 09 Tribes'!$G$70</definedName>
    <definedName name="United_Tribes_NE">'FY 09 Tribes'!$G$96</definedName>
  </definedNames>
  <calcPr fullCalcOnLoad="1"/>
</workbook>
</file>

<file path=xl/sharedStrings.xml><?xml version="1.0" encoding="utf-8"?>
<sst xmlns="http://schemas.openxmlformats.org/spreadsheetml/2006/main" count="739" uniqueCount="332">
  <si>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</si>
  <si>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</si>
  <si>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</si>
  <si>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</si>
  <si>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</si>
  <si>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</si>
  <si>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</si>
  <si>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</si>
  <si>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</si>
  <si>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</si>
  <si>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</si>
  <si>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</si>
  <si>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</si>
  <si>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</si>
  <si>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</si>
  <si>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</si>
  <si>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</si>
  <si>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</si>
  <si>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</si>
  <si>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</si>
  <si>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</si>
  <si>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</si>
  <si>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</si>
  <si>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</si>
  <si>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</si>
  <si>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</si>
  <si>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</si>
  <si>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</si>
  <si>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</si>
  <si>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</si>
  <si>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</si>
  <si>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</si>
  <si>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</si>
  <si>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</si>
  <si>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</si>
  <si>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</si>
  <si>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</si>
  <si>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</si>
  <si>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</si>
  <si>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</si>
  <si>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</si>
  <si>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</si>
  <si>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</si>
  <si>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</si>
  <si>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</si>
  <si>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</si>
  <si>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</si>
  <si>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</si>
  <si>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</si>
  <si>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</si>
  <si>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</si>
  <si>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</si>
  <si>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</si>
  <si>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American Samoa</t>
  </si>
  <si>
    <t>Guam</t>
  </si>
  <si>
    <t>Northern Marianas</t>
  </si>
  <si>
    <t>Puerto Rico</t>
  </si>
  <si>
    <t>Virgin Islands</t>
  </si>
  <si>
    <t>Gross Allocations--before Tribal Set-Asides</t>
  </si>
  <si>
    <t>CAP/Floor + or -</t>
  </si>
  <si>
    <t>Ceiling Ratio</t>
  </si>
  <si>
    <t>old percents</t>
  </si>
  <si>
    <t>floor</t>
  </si>
  <si>
    <t>ceiling</t>
  </si>
  <si>
    <t>new percents</t>
  </si>
  <si>
    <t>new % amounts</t>
  </si>
  <si>
    <t>Floor Amount 1</t>
  </si>
  <si>
    <t>Floor Amount 2</t>
  </si>
  <si>
    <t>new % amount</t>
  </si>
  <si>
    <t xml:space="preserve"> </t>
  </si>
  <si>
    <t>FY 1984 Percents</t>
  </si>
  <si>
    <t>FY 1984 Allocations At $1.975B</t>
  </si>
  <si>
    <t>State Share at Appropriation of $2.14B</t>
  </si>
  <si>
    <t>State Share at Appropriation of $2.25B</t>
  </si>
  <si>
    <t>States Being Capped to  Fund Floor</t>
  </si>
  <si>
    <t>States at Floor Amounts</t>
  </si>
  <si>
    <t>States at $2.14 B  Amounts</t>
  </si>
  <si>
    <t>States Getting Their % of Home Energy $</t>
  </si>
  <si>
    <t xml:space="preserve">            </t>
  </si>
  <si>
    <t>Figures for $1.975B Hold Harmless Provision</t>
  </si>
  <si>
    <t>Appropriation</t>
  </si>
  <si>
    <t>Leveraging</t>
  </si>
  <si>
    <t xml:space="preserve">    Difference</t>
  </si>
  <si>
    <t>T&amp;TA</t>
  </si>
  <si>
    <t>Territory Allocation Ratio</t>
  </si>
  <si>
    <t>Territories</t>
  </si>
  <si>
    <t>Total to States</t>
  </si>
  <si>
    <t>Ratios by Territory</t>
  </si>
  <si>
    <t>Amount Appropriated under Old Formula</t>
  </si>
  <si>
    <t>2.14 B %</t>
  </si>
  <si>
    <t>2.25 B %</t>
  </si>
  <si>
    <t>2.14 B % amt</t>
  </si>
  <si>
    <t>2.14 B PCT X Allocation FOR &lt; 1%</t>
  </si>
  <si>
    <t>Block Grant Allocations from Appropriation</t>
  </si>
  <si>
    <t>State/Territory</t>
  </si>
  <si>
    <t>States</t>
  </si>
  <si>
    <t>Difference</t>
  </si>
  <si>
    <t>Territorial Allocations at $1.975B</t>
  </si>
  <si>
    <t>FY08 Territorial Allocations of $840M</t>
  </si>
  <si>
    <t>TOTAL</t>
  </si>
  <si>
    <t>Col. B</t>
  </si>
  <si>
    <t>Block Grant Allocations of $840m</t>
  </si>
  <si>
    <t>Low Income Home Energy Assistance Program (LIHEAP) Allocations to States and Territories for FY 2009</t>
  </si>
  <si>
    <t xml:space="preserve">FY09 BLOCK GRANT </t>
  </si>
  <si>
    <r>
      <t xml:space="preserve">FY09 Block Grant Allocations under </t>
    </r>
    <r>
      <rPr>
        <b/>
        <sz val="10"/>
        <rFont val="Arial"/>
        <family val="2"/>
      </rPr>
      <t xml:space="preserve">Old Formula </t>
    </r>
    <r>
      <rPr>
        <sz val="10"/>
        <rFont val="Arial"/>
        <family val="2"/>
      </rPr>
      <t>Percentages</t>
    </r>
  </si>
  <si>
    <r>
      <t xml:space="preserve">FY09 Block Grant Allocations under </t>
    </r>
    <r>
      <rPr>
        <b/>
        <sz val="10"/>
        <rFont val="Arial"/>
        <family val="2"/>
      </rPr>
      <t>New Formula</t>
    </r>
  </si>
  <si>
    <t>FY 2009 Percents</t>
  </si>
  <si>
    <t>FY09 Low Income Home Energy Assistance Program (LIHEAP) Allocations to States and Territories-New Formula Appropriation of $840 Million</t>
  </si>
  <si>
    <t>Total FY09 Block Grant - Gross State Allocations</t>
  </si>
  <si>
    <t>Amount Appropriated under New Formula Plus Amount Needed to Trigger New Formula</t>
  </si>
  <si>
    <t>Amount Appropriated under New Formula</t>
  </si>
  <si>
    <t>Allocations at New-Formula Trigger</t>
  </si>
  <si>
    <r>
      <t xml:space="preserve">(I) </t>
    </r>
    <r>
      <rPr>
        <i/>
        <u val="single"/>
        <sz val="10"/>
        <rFont val="Arial"/>
        <family val="2"/>
      </rPr>
      <t>ceiling amt</t>
    </r>
  </si>
  <si>
    <t>Gross State Allocations, Tribes and Territories, and State Allocations Net of Tribal Set-asides</t>
  </si>
  <si>
    <t xml:space="preserve">      Regular Block Grant Funds Only</t>
  </si>
  <si>
    <t>Allocation Percents</t>
  </si>
  <si>
    <t>Gross Allocations</t>
  </si>
  <si>
    <t>Tribal Set-Aside</t>
  </si>
  <si>
    <t xml:space="preserve"> Net Allocations</t>
  </si>
  <si>
    <t>Territory Allocations</t>
  </si>
  <si>
    <t xml:space="preserve"> T &amp; TA</t>
  </si>
  <si>
    <t>Territorial Allocations</t>
  </si>
  <si>
    <t>FY 2009 Low Income Home Energy Assistance Program (LIHEAP) Indian Tribe and Tribal Organization Allocations at $4.5 billion</t>
  </si>
  <si>
    <t>Appropriation Amount</t>
  </si>
  <si>
    <t>Regular Block Grant Funds Only</t>
  </si>
  <si>
    <t>Tribal Allocations and State Allocations Net of Tribal Set-asides</t>
  </si>
  <si>
    <t>SOURCE FOR Allocation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</si>
  <si>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</si>
  <si>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</si>
  <si>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</si>
  <si>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</si>
  <si>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Allocation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</si>
  <si>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</si>
  <si>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</si>
  <si>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</si>
  <si>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</si>
  <si>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</si>
  <si>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</si>
  <si>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ALLOCATION</t>
  </si>
  <si>
    <t>PERCENTAGE OF STATE SHARE</t>
  </si>
  <si>
    <t>TRIBAL GRANT AMOUNT</t>
  </si>
  <si>
    <t>STATE TRIBAL SET-ASIDE</t>
  </si>
  <si>
    <t>STATE NET ALLOCATION</t>
  </si>
  <si>
    <t>TRIBAL % OF STATE GROSS ALLOCATION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</si>
  <si>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</si>
  <si>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</si>
  <si>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</si>
  <si>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</si>
  <si>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</si>
  <si>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</si>
  <si>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</si>
  <si>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</si>
  <si>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</si>
  <si>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</si>
  <si>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</si>
  <si>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</si>
  <si>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</si>
  <si>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</si>
  <si>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</si>
  <si>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</si>
  <si>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</si>
  <si>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</si>
  <si>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N. Cal. Ind. Devel. Council, Inc.(NCIDC) (Calif.)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</si>
  <si>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</si>
  <si>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</si>
  <si>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</si>
  <si>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</si>
  <si>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</si>
  <si>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</si>
  <si>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</si>
  <si>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</si>
  <si>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</si>
  <si>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</si>
  <si>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</si>
  <si>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</si>
  <si>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</si>
  <si>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</si>
  <si>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</si>
  <si>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</si>
  <si>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</si>
  <si>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</si>
  <si>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</si>
  <si>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</si>
  <si>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</si>
  <si>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</si>
  <si>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</si>
  <si>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</si>
  <si>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</si>
  <si>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</si>
  <si>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</si>
  <si>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</si>
  <si>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</si>
  <si>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</si>
  <si>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</si>
  <si>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</si>
  <si>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</si>
  <si>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</si>
  <si>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</si>
  <si>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</si>
  <si>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</si>
  <si>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</si>
  <si>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</si>
  <si>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</si>
  <si>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</si>
  <si>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</si>
  <si>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</si>
  <si>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</si>
  <si>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</si>
  <si>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</si>
  <si>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</si>
  <si>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</si>
  <si>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>C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</si>
  <si>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</si>
  <si>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</si>
  <si>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</si>
  <si>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</si>
  <si>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</si>
  <si>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</si>
  <si>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</si>
  <si>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</si>
  <si>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</si>
  <si>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</si>
  <si>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</si>
  <si>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</si>
  <si>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</si>
  <si>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</si>
  <si>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</si>
  <si>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</si>
  <si>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</si>
  <si>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</si>
  <si>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</si>
  <si>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</si>
  <si>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</si>
  <si>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</si>
  <si>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</si>
  <si>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</si>
  <si>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</si>
  <si>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</si>
  <si>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</si>
  <si>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</si>
  <si>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</si>
  <si>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</si>
  <si>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</si>
  <si>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</si>
  <si>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</si>
  <si>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</si>
  <si>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</si>
  <si>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</si>
  <si>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</si>
  <si>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</si>
  <si>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</si>
  <si>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</si>
  <si>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</si>
  <si>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</si>
  <si>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</si>
  <si>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</si>
  <si>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</si>
  <si>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</si>
  <si>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</si>
  <si>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</si>
  <si>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</si>
  <si>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</si>
  <si>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</si>
  <si>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</si>
  <si>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</si>
  <si>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</si>
  <si>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</si>
  <si>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</si>
  <si>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</si>
  <si>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</si>
  <si>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</si>
  <si>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</si>
  <si>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</si>
  <si>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</si>
  <si>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</si>
  <si>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</si>
  <si>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</si>
  <si>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</si>
  <si>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</si>
  <si>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</si>
  <si>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</si>
  <si>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</si>
  <si>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</si>
  <si>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</si>
  <si>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</si>
  <si>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</si>
  <si>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</si>
  <si>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</si>
  <si>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</si>
  <si>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</si>
  <si>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</si>
  <si>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</si>
  <si>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</si>
  <si>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</si>
  <si>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</si>
  <si>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</si>
  <si>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</si>
  <si>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</si>
  <si>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</si>
  <si>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</si>
  <si>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</si>
  <si>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</si>
  <si>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</si>
  <si>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</si>
  <si>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Totals from Tribes that Cross State Borders</t>
  </si>
  <si>
    <t>Tribe</t>
  </si>
  <si>
    <t>State of Situ (from GATES)</t>
  </si>
  <si>
    <t>Poarch Band of Creek Indians (Total)</t>
  </si>
  <si>
    <t>Poarch Band of Creek Indians (Alabama)</t>
  </si>
  <si>
    <t>Poarch Band of Creek Indians (Florida)</t>
  </si>
  <si>
    <t>Colorado River Indian Tribes (Total)</t>
  </si>
  <si>
    <t>Colorado River Indian Tribes (Arizona)</t>
  </si>
  <si>
    <t>Colorado River Indian Tribes (California)</t>
  </si>
  <si>
    <t>Navajo Nation (Total)</t>
  </si>
  <si>
    <t>Navajo Nation (Arizona)</t>
  </si>
  <si>
    <t>Navajo Nation (New Mexico)</t>
  </si>
  <si>
    <t>Navajo Nation (Utah)</t>
  </si>
  <si>
    <t>Quechan Tribe (Total)</t>
  </si>
  <si>
    <t>Quechan Tribe (Arizona)</t>
  </si>
  <si>
    <t>Quechan Tribe (California)</t>
  </si>
  <si>
    <t>Northern California Indian Development Council (Total)</t>
  </si>
  <si>
    <t>N. Cal. Ind. Devel. Council, Inc.(NCIDC) (Arizona)</t>
  </si>
  <si>
    <t>N. Cal. Ind. Devel. Council, Inc.(NCIDC) (California)</t>
  </si>
  <si>
    <t>United Tribes of Kansas &amp; SE Nebraska (Total)</t>
  </si>
  <si>
    <t>United Tribes of Kansas &amp; SE Nebraska (Kansas)</t>
  </si>
  <si>
    <t>United Tribes of Ks. &amp; SE Neb. (Nebraska)</t>
  </si>
  <si>
    <t>Pokagon Band of Potawatomi Indians (Total)</t>
  </si>
  <si>
    <t>Pokagon Band (Indiana)</t>
  </si>
  <si>
    <t>Pokagon Band of Potawatomi Indians (Michigan)</t>
  </si>
  <si>
    <t>Standing Rock Sioux Tribe (Total)</t>
  </si>
  <si>
    <t>Standing Rock Sioux Tribe (North Dakota)</t>
  </si>
  <si>
    <t>Standing Rock Sioux Tribe (South Dakota)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</si>
</sst>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0.00000000_)"/>
    <numFmt numFmtId="167" formatCode="0.00000000"/>
    <numFmt numFmtId="168" formatCode="0.000000%"/>
    <numFmt numFmtId="169" formatCode="&quot;$&quot;#,##0.00000000"/>
    <numFmt numFmtId="170" formatCode="#,##0.00000000_);\(#,##0.00000000\)"/>
    <numFmt numFmtId="171" formatCode="0_)"/>
    <numFmt numFmtId="172" formatCode="0.000000000"/>
    <numFmt numFmtId="173" formatCode="#,##0.000000000000000"/>
    <numFmt numFmtId="174" formatCode="&quot;$&quot;#,##0.0_);\(&quot;$&quot;#,##0.0\)"/>
    <numFmt numFmtId="175" formatCode="&quot;$&quot;#,##0.00000000_);\(&quot;$&quot;#,##0.00000000\)"/>
    <numFmt numFmtId="176" formatCode="0.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"/>
    <numFmt numFmtId="182" formatCode="0.000%"/>
    <numFmt numFmtId="183" formatCode="#,##0.0000000000"/>
    <numFmt numFmtId="184" formatCode="0.0%"/>
    <numFmt numFmtId="185" formatCode="&quot;$&quot;#,##0.000000000_);\(&quot;$&quot;#,##0.000000000\)"/>
    <numFmt numFmtId="186" formatCode="0.000_)"/>
    <numFmt numFmtId="187" formatCode="0.00_)"/>
    <numFmt numFmtId="188" formatCode="0.0000_)"/>
    <numFmt numFmtId="189" formatCode="0.00000_)"/>
    <numFmt numFmtId="190" formatCode="&quot;$&quot;#,##0.000_);\(&quot;$&quot;#,##0.000\)"/>
    <numFmt numFmtId="191" formatCode="00000"/>
    <numFmt numFmtId="192" formatCode="dd\-mmm\-yy"/>
    <numFmt numFmtId="193" formatCode="dd\-mmm\-yy_)"/>
    <numFmt numFmtId="194" formatCode="General_)"/>
    <numFmt numFmtId="195" formatCode="_(* #,##0.0_);_(* \(#,##0.0\);_(* &quot;-&quot;??_);_(@_)"/>
    <numFmt numFmtId="196" formatCode="_(* #,##0_);_(* \(#,##0\);_(* &quot;-&quot;??_);_(@_)"/>
    <numFmt numFmtId="197" formatCode="&quot;$&quot;#,##0.0000_);\(&quot;$&quot;#,##0.0000\)"/>
    <numFmt numFmtId="198" formatCode="#,##0.0_);\(#,##0.0\)"/>
    <numFmt numFmtId="199" formatCode="#,##0.000_);\(#,##0.000\)"/>
    <numFmt numFmtId="200" formatCode="#,##0.0000_);\(#,##0.0000\)"/>
    <numFmt numFmtId="201" formatCode="#,##0.00000_);\(#,##0.00000\)"/>
    <numFmt numFmtId="202" formatCode="#,##0.000000_);\(#,##0.000000\)"/>
    <numFmt numFmtId="203" formatCode="#,##0.0000000_);\(#,##0.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_);_(* \(#,##0.000\);_(* &quot;-&quot;??_);_(@_)"/>
    <numFmt numFmtId="209" formatCode="&quot;$&quot;#,##0.000000_);\(&quot;$&quot;#,##0.000000\)"/>
    <numFmt numFmtId="210" formatCode="[$-409]dddd\,\ mmmm\ dd\,\ yyyy"/>
    <numFmt numFmtId="211" formatCode="[$-409]d\-mmm\-yy;@"/>
    <numFmt numFmtId="212" formatCode="0.00%;\(0.00%\);"/>
    <numFmt numFmtId="213" formatCode="0.000000%;\(0.000000%\);"/>
    <numFmt numFmtId="214" formatCode="d\-mmm\-yyyy"/>
  </numFmts>
  <fonts count="19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ourier"/>
      <family val="0"/>
    </font>
    <font>
      <b/>
      <sz val="9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7"/>
      <name val="Arial"/>
      <family val="2"/>
    </font>
    <font>
      <b/>
      <i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11" fontId="6" fillId="0" borderId="0" xfId="24" applyNumberFormat="1" applyFont="1" applyAlignment="1" quotePrefix="1">
      <alignment horizontal="right"/>
      <protection/>
    </xf>
    <xf numFmtId="0" fontId="1" fillId="0" borderId="0" xfId="24" applyFont="1" applyFill="1" applyAlignment="1" applyProtection="1">
      <alignment horizontal="center" vertical="top"/>
      <protection/>
    </xf>
    <xf numFmtId="0" fontId="1" fillId="0" borderId="0" xfId="24" applyFont="1" applyFill="1" applyAlignment="1" applyProtection="1">
      <alignment horizontal="left"/>
      <protection/>
    </xf>
    <xf numFmtId="5" fontId="1" fillId="0" borderId="0" xfId="0" applyNumberFormat="1" applyFont="1" applyAlignment="1">
      <alignment/>
    </xf>
    <xf numFmtId="0" fontId="1" fillId="0" borderId="1" xfId="24" applyFont="1" applyFill="1" applyBorder="1" applyAlignment="1" applyProtection="1">
      <alignment horizontal="center"/>
      <protection/>
    </xf>
    <xf numFmtId="5" fontId="1" fillId="0" borderId="1" xfId="0" applyNumberFormat="1" applyFont="1" applyBorder="1" applyAlignment="1">
      <alignment/>
    </xf>
    <xf numFmtId="37" fontId="1" fillId="0" borderId="0" xfId="25" applyNumberFormat="1" applyFont="1" applyBorder="1" applyAlignment="1" applyProtection="1">
      <alignment horizontal="left"/>
      <protection/>
    </xf>
    <xf numFmtId="0" fontId="6" fillId="0" borderId="0" xfId="0" applyFont="1" applyAlignment="1">
      <alignment wrapText="1"/>
    </xf>
    <xf numFmtId="5" fontId="6" fillId="0" borderId="0" xfId="0" applyNumberFormat="1" applyFont="1" applyAlignment="1">
      <alignment/>
    </xf>
    <xf numFmtId="5" fontId="6" fillId="0" borderId="1" xfId="0" applyNumberFormat="1" applyFont="1" applyBorder="1" applyAlignment="1">
      <alignment/>
    </xf>
    <xf numFmtId="0" fontId="6" fillId="0" borderId="0" xfId="24" applyFont="1" applyAlignment="1" quotePrefix="1">
      <alignment horizontal="right"/>
      <protection/>
    </xf>
    <xf numFmtId="0" fontId="8" fillId="0" borderId="0" xfId="24" applyFont="1" applyFill="1" applyAlignment="1" applyProtection="1">
      <alignment horizontal="center" vertical="top"/>
      <protection/>
    </xf>
    <xf numFmtId="5" fontId="6" fillId="0" borderId="0" xfId="25" applyNumberFormat="1" applyFont="1" applyBorder="1" applyAlignment="1" applyProtection="1">
      <alignment horizontal="center" wrapText="1"/>
      <protection/>
    </xf>
    <xf numFmtId="170" fontId="1" fillId="0" borderId="0" xfId="25" applyNumberFormat="1" applyFont="1" applyBorder="1" applyProtection="1">
      <alignment/>
      <protection/>
    </xf>
    <xf numFmtId="5" fontId="6" fillId="0" borderId="0" xfId="25" applyNumberFormat="1" applyFont="1" applyBorder="1" applyAlignment="1" applyProtection="1">
      <alignment horizontal="right"/>
      <protection/>
    </xf>
    <xf numFmtId="37" fontId="1" fillId="0" borderId="1" xfId="25" applyNumberFormat="1" applyFont="1" applyBorder="1" applyAlignment="1" applyProtection="1">
      <alignment horizontal="center"/>
      <protection/>
    </xf>
    <xf numFmtId="37" fontId="1" fillId="0" borderId="1" xfId="25" applyNumberFormat="1" applyFont="1" applyBorder="1" applyAlignment="1" applyProtection="1">
      <alignment horizontal="left"/>
      <protection/>
    </xf>
    <xf numFmtId="5" fontId="1" fillId="0" borderId="0" xfId="25" applyNumberFormat="1" applyFont="1" applyBorder="1" applyAlignment="1" applyProtection="1">
      <alignment horizontal="center" wrapText="1"/>
      <protection/>
    </xf>
    <xf numFmtId="5" fontId="1" fillId="0" borderId="0" xfId="25" applyNumberFormat="1" applyFont="1" applyBorder="1" applyAlignment="1" applyProtection="1">
      <alignment horizontal="right"/>
      <protection/>
    </xf>
    <xf numFmtId="5" fontId="1" fillId="0" borderId="2" xfId="25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5" fontId="1" fillId="0" borderId="3" xfId="0" applyNumberFormat="1" applyFont="1" applyBorder="1" applyAlignment="1">
      <alignment/>
    </xf>
    <xf numFmtId="5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164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24" applyFont="1" applyFill="1" applyAlignment="1">
      <alignment horizontal="left" wrapText="1" indent="2"/>
      <protection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indent="1"/>
    </xf>
    <xf numFmtId="166" fontId="1" fillId="0" borderId="0" xfId="24" applyNumberFormat="1" applyFont="1" applyFill="1" applyAlignment="1" applyProtection="1">
      <alignment horizontal="right" vertical="center"/>
      <protection/>
    </xf>
    <xf numFmtId="0" fontId="6" fillId="0" borderId="0" xfId="24" applyFont="1" applyFill="1" applyAlignment="1">
      <alignment horizontal="left" wrapText="1"/>
      <protection/>
    </xf>
    <xf numFmtId="0" fontId="1" fillId="0" borderId="0" xfId="24" applyFont="1" applyFill="1">
      <alignment/>
      <protection/>
    </xf>
    <xf numFmtId="0" fontId="1" fillId="0" borderId="0" xfId="24" applyFont="1" applyFill="1" applyAlignment="1">
      <alignment wrapText="1"/>
      <protection/>
    </xf>
    <xf numFmtId="164" fontId="1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0" fontId="1" fillId="0" borderId="0" xfId="24" applyFont="1" applyFill="1" applyAlignment="1">
      <alignment vertical="top"/>
      <protection/>
    </xf>
    <xf numFmtId="0" fontId="1" fillId="0" borderId="0" xfId="24" applyFont="1" applyFill="1" applyAlignment="1">
      <alignment vertical="top" wrapText="1"/>
      <protection/>
    </xf>
    <xf numFmtId="0" fontId="10" fillId="0" borderId="0" xfId="24" applyFont="1" applyFill="1" applyAlignment="1" applyProtection="1">
      <alignment horizontal="center" vertical="top"/>
      <protection/>
    </xf>
    <xf numFmtId="37" fontId="1" fillId="0" borderId="0" xfId="25" applyNumberFormat="1" applyFont="1" applyBorder="1" applyAlignment="1" applyProtection="1">
      <alignment horizontal="center"/>
      <protection/>
    </xf>
    <xf numFmtId="5" fontId="6" fillId="0" borderId="1" xfId="25" applyNumberFormat="1" applyFont="1" applyBorder="1" applyAlignment="1" applyProtection="1">
      <alignment horizontal="right"/>
      <protection/>
    </xf>
    <xf numFmtId="37" fontId="1" fillId="0" borderId="0" xfId="24" applyNumberFormat="1" applyFont="1" applyFill="1">
      <alignment/>
      <protection/>
    </xf>
    <xf numFmtId="164" fontId="1" fillId="0" borderId="0" xfId="24" applyNumberFormat="1" applyFont="1" applyFill="1" applyAlignment="1">
      <alignment horizontal="right"/>
      <protection/>
    </xf>
    <xf numFmtId="173" fontId="1" fillId="0" borderId="0" xfId="24" applyNumberFormat="1" applyFont="1" applyFill="1">
      <alignment/>
      <protection/>
    </xf>
    <xf numFmtId="1" fontId="1" fillId="0" borderId="0" xfId="24" applyNumberFormat="1" applyFont="1" applyFill="1">
      <alignment/>
      <protection/>
    </xf>
    <xf numFmtId="0" fontId="13" fillId="0" borderId="0" xfId="24" applyFont="1" applyFill="1" applyAlignment="1" applyProtection="1">
      <alignment horizontal="center" wrapText="1"/>
      <protection/>
    </xf>
    <xf numFmtId="0" fontId="11" fillId="0" borderId="0" xfId="24" applyFont="1" applyFill="1" applyAlignment="1">
      <alignment horizontal="center" wrapText="1"/>
      <protection/>
    </xf>
    <xf numFmtId="164" fontId="1" fillId="0" borderId="0" xfId="24" applyNumberFormat="1" applyFont="1" applyFill="1" applyAlignment="1" applyProtection="1">
      <alignment horizontal="center" wrapText="1"/>
      <protection/>
    </xf>
    <xf numFmtId="0" fontId="11" fillId="0" borderId="0" xfId="24" applyFont="1" applyFill="1" applyAlignment="1" applyProtection="1">
      <alignment horizontal="center" wrapText="1"/>
      <protection/>
    </xf>
    <xf numFmtId="0" fontId="12" fillId="0" borderId="0" xfId="24" applyFont="1" applyFill="1" applyAlignment="1" applyProtection="1">
      <alignment horizontal="center" wrapText="1"/>
      <protection/>
    </xf>
    <xf numFmtId="0" fontId="1" fillId="0" borderId="0" xfId="24" applyFont="1" applyFill="1" applyAlignment="1" applyProtection="1">
      <alignment horizontal="center" vertical="top" wrapText="1"/>
      <protection/>
    </xf>
    <xf numFmtId="10" fontId="1" fillId="0" borderId="0" xfId="24" applyNumberFormat="1" applyFont="1" applyFill="1" applyAlignment="1" applyProtection="1">
      <alignment horizontal="center" vertical="top" wrapText="1"/>
      <protection/>
    </xf>
    <xf numFmtId="164" fontId="1" fillId="0" borderId="0" xfId="24" applyNumberFormat="1" applyFont="1" applyFill="1" applyAlignment="1" applyProtection="1">
      <alignment horizontal="center" vertical="top" wrapText="1"/>
      <protection/>
    </xf>
    <xf numFmtId="5" fontId="1" fillId="0" borderId="0" xfId="24" applyNumberFormat="1" applyFont="1" applyFill="1" applyAlignment="1" applyProtection="1">
      <alignment horizontal="center" vertical="top" wrapText="1"/>
      <protection/>
    </xf>
    <xf numFmtId="5" fontId="6" fillId="0" borderId="0" xfId="24" applyNumberFormat="1" applyFont="1" applyFill="1" applyAlignment="1" applyProtection="1">
      <alignment horizontal="center" vertical="top" wrapText="1"/>
      <protection/>
    </xf>
    <xf numFmtId="0" fontId="1" fillId="0" borderId="0" xfId="24" applyFont="1" applyFill="1" applyAlignment="1">
      <alignment horizontal="left"/>
      <protection/>
    </xf>
    <xf numFmtId="164" fontId="1" fillId="0" borderId="0" xfId="24" applyNumberFormat="1" applyFont="1" applyFill="1" applyAlignment="1" applyProtection="1">
      <alignment horizontal="left"/>
      <protection/>
    </xf>
    <xf numFmtId="5" fontId="1" fillId="0" borderId="0" xfId="24" applyNumberFormat="1" applyFont="1" applyFill="1" applyAlignment="1" applyProtection="1">
      <alignment horizontal="left"/>
      <protection/>
    </xf>
    <xf numFmtId="166" fontId="1" fillId="0" borderId="0" xfId="24" applyNumberFormat="1" applyFont="1" applyFill="1" applyAlignment="1" applyProtection="1">
      <alignment horizontal="left"/>
      <protection/>
    </xf>
    <xf numFmtId="167" fontId="1" fillId="0" borderId="0" xfId="24" applyNumberFormat="1" applyFont="1" applyFill="1" applyAlignment="1" applyProtection="1">
      <alignment horizontal="left"/>
      <protection/>
    </xf>
    <xf numFmtId="165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 applyAlignment="1">
      <alignment horizontal="left"/>
      <protection/>
    </xf>
    <xf numFmtId="164" fontId="1" fillId="0" borderId="0" xfId="24" applyNumberFormat="1" applyFont="1" applyFill="1" applyAlignment="1">
      <alignment horizontal="left"/>
      <protection/>
    </xf>
    <xf numFmtId="3" fontId="1" fillId="0" borderId="0" xfId="24" applyNumberFormat="1" applyFont="1" applyFill="1" applyAlignment="1">
      <alignment horizontal="left"/>
      <protection/>
    </xf>
    <xf numFmtId="3" fontId="1" fillId="0" borderId="0" xfId="24" applyNumberFormat="1" applyFont="1" applyFill="1" applyAlignment="1" applyProtection="1">
      <alignment horizontal="left"/>
      <protection/>
    </xf>
    <xf numFmtId="37" fontId="1" fillId="0" borderId="0" xfId="24" applyNumberFormat="1" applyFont="1" applyFill="1" applyAlignment="1" applyProtection="1">
      <alignment horizontal="left"/>
      <protection/>
    </xf>
    <xf numFmtId="171" fontId="1" fillId="0" borderId="0" xfId="24" applyNumberFormat="1" applyFont="1" applyFill="1" applyAlignment="1" applyProtection="1">
      <alignment horizontal="left"/>
      <protection/>
    </xf>
    <xf numFmtId="5" fontId="6" fillId="0" borderId="0" xfId="24" applyNumberFormat="1" applyFont="1" applyFill="1" applyAlignment="1" applyProtection="1">
      <alignment horizontal="left"/>
      <protection/>
    </xf>
    <xf numFmtId="5" fontId="1" fillId="0" borderId="0" xfId="24" applyNumberFormat="1" applyFont="1" applyFill="1">
      <alignment/>
      <protection/>
    </xf>
    <xf numFmtId="0" fontId="1" fillId="0" borderId="0" xfId="24" applyFont="1" applyFill="1" applyAlignment="1">
      <alignment horizontal="left" wrapText="1"/>
      <protection/>
    </xf>
    <xf numFmtId="164" fontId="1" fillId="0" borderId="0" xfId="24" applyNumberFormat="1" applyFont="1" applyFill="1" applyAlignment="1" quotePrefix="1">
      <alignment horizontal="left"/>
      <protection/>
    </xf>
    <xf numFmtId="169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>
      <alignment/>
      <protection/>
    </xf>
    <xf numFmtId="5" fontId="1" fillId="0" borderId="0" xfId="24" applyNumberFormat="1" applyFont="1" applyFill="1" applyAlignment="1" applyProtection="1">
      <alignment horizontal="right"/>
      <protection/>
    </xf>
    <xf numFmtId="172" fontId="1" fillId="0" borderId="0" xfId="24" applyNumberFormat="1" applyFont="1" applyFill="1" applyAlignment="1">
      <alignment horizontal="left"/>
      <protection/>
    </xf>
    <xf numFmtId="168" fontId="1" fillId="0" borderId="0" xfId="24" applyNumberFormat="1" applyFont="1" applyFill="1" applyAlignment="1" applyProtection="1">
      <alignment horizontal="left"/>
      <protection/>
    </xf>
    <xf numFmtId="166" fontId="6" fillId="0" borderId="0" xfId="24" applyNumberFormat="1" applyFont="1" applyFill="1" applyAlignment="1" applyProtection="1">
      <alignment horizontal="right"/>
      <protection/>
    </xf>
    <xf numFmtId="3" fontId="1" fillId="0" borderId="0" xfId="24" applyNumberFormat="1" applyFont="1" applyFill="1">
      <alignment/>
      <protection/>
    </xf>
    <xf numFmtId="5" fontId="1" fillId="0" borderId="1" xfId="25" applyNumberFormat="1" applyFont="1" applyBorder="1" applyAlignment="1" applyProtection="1">
      <alignment horizontal="right"/>
      <protection/>
    </xf>
    <xf numFmtId="170" fontId="1" fillId="0" borderId="0" xfId="24" applyNumberFormat="1" applyFont="1" applyFill="1">
      <alignment/>
      <protection/>
    </xf>
    <xf numFmtId="173" fontId="1" fillId="0" borderId="0" xfId="24" applyNumberFormat="1" applyFont="1" applyFill="1" quotePrefix="1">
      <alignment/>
      <protection/>
    </xf>
    <xf numFmtId="0" fontId="6" fillId="0" borderId="0" xfId="24" applyFont="1" applyFill="1" applyAlignment="1" applyProtection="1">
      <alignment horizontal="center" vertical="top" wrapText="1"/>
      <protection/>
    </xf>
    <xf numFmtId="5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 applyBorder="1">
      <alignment/>
      <protection/>
    </xf>
    <xf numFmtId="37" fontId="6" fillId="0" borderId="0" xfId="25" applyFont="1" applyFill="1">
      <alignment/>
      <protection/>
    </xf>
    <xf numFmtId="37" fontId="1" fillId="0" borderId="0" xfId="25" applyFont="1" applyFill="1">
      <alignment/>
      <protection/>
    </xf>
    <xf numFmtId="37" fontId="15" fillId="0" borderId="0" xfId="25" applyFont="1" applyFill="1" applyAlignment="1">
      <alignment horizontal="center"/>
      <protection/>
    </xf>
    <xf numFmtId="37" fontId="16" fillId="0" borderId="0" xfId="25" applyFont="1" applyFill="1" applyAlignment="1">
      <alignment horizontal="center"/>
      <protection/>
    </xf>
    <xf numFmtId="164" fontId="1" fillId="0" borderId="0" xfId="25" applyNumberFormat="1" applyFont="1" applyFill="1" applyProtection="1">
      <alignment/>
      <protection/>
    </xf>
    <xf numFmtId="37" fontId="1" fillId="0" borderId="0" xfId="25" applyNumberFormat="1" applyFont="1" applyFill="1" applyAlignment="1" applyProtection="1">
      <alignment horizontal="left"/>
      <protection/>
    </xf>
    <xf numFmtId="37" fontId="1" fillId="0" borderId="0" xfId="26" applyFont="1" applyFill="1" applyAlignment="1" quotePrefix="1">
      <alignment horizontal="right"/>
      <protection/>
    </xf>
    <xf numFmtId="214" fontId="6" fillId="0" borderId="0" xfId="29" applyNumberFormat="1" applyFont="1" applyAlignment="1">
      <alignment horizontal="right"/>
      <protection/>
    </xf>
    <xf numFmtId="37" fontId="0" fillId="0" borderId="0" xfId="26" applyFont="1" applyFill="1" applyAlignment="1" quotePrefix="1">
      <alignment horizontal="right"/>
      <protection/>
    </xf>
    <xf numFmtId="37" fontId="1" fillId="0" borderId="0" xfId="25" applyFont="1" applyFill="1" applyAlignment="1">
      <alignment horizontal="right"/>
      <protection/>
    </xf>
    <xf numFmtId="37" fontId="1" fillId="0" borderId="6" xfId="25" applyNumberFormat="1" applyFont="1" applyFill="1" applyBorder="1" applyAlignment="1" applyProtection="1">
      <alignment horizontal="center"/>
      <protection/>
    </xf>
    <xf numFmtId="0" fontId="1" fillId="0" borderId="6" xfId="27" applyFont="1" applyFill="1" applyBorder="1" applyAlignment="1">
      <alignment horizontal="center" wrapText="1"/>
      <protection/>
    </xf>
    <xf numFmtId="166" fontId="1" fillId="0" borderId="0" xfId="25" applyNumberFormat="1" applyFont="1" applyFill="1" applyProtection="1">
      <alignment/>
      <protection/>
    </xf>
    <xf numFmtId="5" fontId="1" fillId="0" borderId="0" xfId="29" applyNumberFormat="1" applyFont="1">
      <alignment/>
      <protection/>
    </xf>
    <xf numFmtId="5" fontId="1" fillId="0" borderId="0" xfId="25" applyNumberFormat="1" applyFont="1" applyFill="1" applyProtection="1">
      <alignment/>
      <protection/>
    </xf>
    <xf numFmtId="37" fontId="1" fillId="0" borderId="2" xfId="25" applyNumberFormat="1" applyFont="1" applyFill="1" applyBorder="1" applyAlignment="1" applyProtection="1">
      <alignment horizontal="left"/>
      <protection/>
    </xf>
    <xf numFmtId="166" fontId="1" fillId="0" borderId="2" xfId="25" applyNumberFormat="1" applyFont="1" applyFill="1" applyBorder="1" applyProtection="1">
      <alignment/>
      <protection/>
    </xf>
    <xf numFmtId="5" fontId="1" fillId="0" borderId="2" xfId="25" applyNumberFormat="1" applyFont="1" applyFill="1" applyBorder="1" applyProtection="1">
      <alignment/>
      <protection/>
    </xf>
    <xf numFmtId="5" fontId="1" fillId="0" borderId="0" xfId="25" applyNumberFormat="1" applyFont="1" applyFill="1" applyBorder="1" applyProtection="1">
      <alignment/>
      <protection/>
    </xf>
    <xf numFmtId="37" fontId="1" fillId="0" borderId="0" xfId="25" applyNumberFormat="1" applyFont="1" applyFill="1" applyAlignment="1" applyProtection="1">
      <alignment horizontal="center"/>
      <protection/>
    </xf>
    <xf numFmtId="37" fontId="1" fillId="0" borderId="0" xfId="25" applyNumberFormat="1" applyFont="1" applyFill="1" applyBorder="1" applyAlignment="1" applyProtection="1">
      <alignment horizontal="left" wrapText="1"/>
      <protection/>
    </xf>
    <xf numFmtId="164" fontId="1" fillId="0" borderId="0" xfId="29" applyNumberFormat="1" applyFont="1">
      <alignment/>
      <protection/>
    </xf>
    <xf numFmtId="37" fontId="1" fillId="0" borderId="0" xfId="25" applyNumberFormat="1" applyFont="1" applyFill="1" applyBorder="1" applyAlignment="1" applyProtection="1">
      <alignment/>
      <protection/>
    </xf>
    <xf numFmtId="37" fontId="1" fillId="0" borderId="0" xfId="25" applyNumberFormat="1" applyFont="1" applyFill="1" applyBorder="1" applyAlignment="1" applyProtection="1">
      <alignment horizontal="left"/>
      <protection/>
    </xf>
    <xf numFmtId="170" fontId="1" fillId="0" borderId="0" xfId="25" applyNumberFormat="1" applyFont="1" applyFill="1" applyBorder="1" applyProtection="1">
      <alignment/>
      <protection/>
    </xf>
    <xf numFmtId="37" fontId="1" fillId="0" borderId="0" xfId="25" applyNumberFormat="1" applyFont="1" applyFill="1" applyBorder="1" applyAlignment="1" applyProtection="1">
      <alignment horizontal="left" indent="1"/>
      <protection/>
    </xf>
    <xf numFmtId="37" fontId="1" fillId="0" borderId="0" xfId="25" applyNumberFormat="1" applyFont="1" applyFill="1" applyBorder="1" applyAlignment="1" applyProtection="1">
      <alignment horizontal="left" wrapText="1" indent="2"/>
      <protection/>
    </xf>
    <xf numFmtId="166" fontId="1" fillId="0" borderId="0" xfId="24" applyNumberFormat="1" applyFont="1" applyFill="1" applyAlignment="1" applyProtection="1">
      <alignment horizontal="right"/>
      <protection/>
    </xf>
    <xf numFmtId="37" fontId="1" fillId="0" borderId="0" xfId="25" applyNumberFormat="1" applyFont="1" applyFill="1" applyBorder="1" applyAlignment="1" applyProtection="1">
      <alignment wrapText="1"/>
      <protection/>
    </xf>
    <xf numFmtId="164" fontId="1" fillId="0" borderId="0" xfId="25" applyNumberFormat="1" applyFont="1" applyFill="1" applyBorder="1" applyAlignment="1" applyProtection="1">
      <alignment horizontal="right" wrapText="1"/>
      <protection/>
    </xf>
    <xf numFmtId="37" fontId="1" fillId="0" borderId="1" xfId="25" applyNumberFormat="1" applyFont="1" applyFill="1" applyBorder="1" applyAlignment="1" applyProtection="1">
      <alignment horizontal="center"/>
      <protection/>
    </xf>
    <xf numFmtId="37" fontId="1" fillId="0" borderId="1" xfId="25" applyNumberFormat="1" applyFont="1" applyFill="1" applyBorder="1" applyAlignment="1" applyProtection="1">
      <alignment horizontal="left"/>
      <protection/>
    </xf>
    <xf numFmtId="164" fontId="1" fillId="0" borderId="0" xfId="25" applyNumberFormat="1" applyFont="1" applyFill="1" applyBorder="1" applyAlignment="1" applyProtection="1">
      <alignment horizontal="right"/>
      <protection/>
    </xf>
    <xf numFmtId="37" fontId="1" fillId="0" borderId="0" xfId="25" applyFont="1" applyFill="1" applyBorder="1" applyAlignment="1">
      <alignment horizontal="left"/>
      <protection/>
    </xf>
    <xf numFmtId="37" fontId="1" fillId="0" borderId="0" xfId="25" applyFont="1" applyFill="1" applyBorder="1">
      <alignment/>
      <protection/>
    </xf>
    <xf numFmtId="5" fontId="6" fillId="0" borderId="0" xfId="25" applyNumberFormat="1" applyFont="1" applyFill="1" applyBorder="1">
      <alignment/>
      <protection/>
    </xf>
    <xf numFmtId="0" fontId="6" fillId="0" borderId="0" xfId="28" applyFont="1" applyFill="1" applyAlignment="1">
      <alignment wrapText="1"/>
      <protection/>
    </xf>
    <xf numFmtId="37" fontId="1" fillId="0" borderId="0" xfId="26" applyFont="1" applyFill="1">
      <alignment/>
      <protection/>
    </xf>
    <xf numFmtId="37" fontId="15" fillId="0" borderId="0" xfId="25" applyFont="1" applyFill="1" applyAlignment="1">
      <alignment horizontal="left"/>
      <protection/>
    </xf>
    <xf numFmtId="9" fontId="1" fillId="0" borderId="0" xfId="30" applyFont="1" applyFill="1" applyAlignment="1">
      <alignment/>
    </xf>
    <xf numFmtId="15" fontId="17" fillId="0" borderId="0" xfId="28" applyNumberFormat="1" applyFont="1" applyFill="1" applyAlignment="1">
      <alignment horizontal="left"/>
      <protection/>
    </xf>
    <xf numFmtId="37" fontId="1" fillId="0" borderId="0" xfId="26" applyNumberFormat="1" applyFont="1" applyFill="1" applyAlignment="1" applyProtection="1">
      <alignment horizontal="left"/>
      <protection/>
    </xf>
    <xf numFmtId="37" fontId="6" fillId="0" borderId="0" xfId="26" applyFont="1" applyFill="1">
      <alignment/>
      <protection/>
    </xf>
    <xf numFmtId="37" fontId="1" fillId="0" borderId="0" xfId="26" applyNumberFormat="1" applyFont="1" applyFill="1" applyBorder="1" applyAlignment="1" applyProtection="1">
      <alignment horizontal="center" wrapText="1"/>
      <protection/>
    </xf>
    <xf numFmtId="37" fontId="1" fillId="0" borderId="0" xfId="26" applyFont="1" applyFill="1" applyBorder="1" applyAlignment="1">
      <alignment horizontal="center" wrapText="1"/>
      <protection/>
    </xf>
    <xf numFmtId="37" fontId="1" fillId="0" borderId="0" xfId="26" applyFont="1" applyFill="1" applyBorder="1">
      <alignment/>
      <protection/>
    </xf>
    <xf numFmtId="37" fontId="6" fillId="0" borderId="0" xfId="26" applyNumberFormat="1" applyFont="1" applyFill="1" applyAlignment="1" applyProtection="1">
      <alignment horizontal="left"/>
      <protection/>
    </xf>
    <xf numFmtId="5" fontId="1" fillId="0" borderId="0" xfId="26" applyNumberFormat="1" applyFont="1" applyFill="1" applyProtection="1">
      <alignment/>
      <protection/>
    </xf>
    <xf numFmtId="37" fontId="1" fillId="0" borderId="0" xfId="26" applyNumberFormat="1" applyFont="1" applyFill="1" applyAlignment="1" applyProtection="1">
      <alignment horizontal="center"/>
      <protection/>
    </xf>
    <xf numFmtId="168" fontId="1" fillId="0" borderId="0" xfId="26" applyNumberFormat="1" applyFont="1" applyFill="1">
      <alignment/>
      <protection/>
    </xf>
    <xf numFmtId="165" fontId="1" fillId="0" borderId="0" xfId="26" applyNumberFormat="1" applyFont="1" applyFill="1">
      <alignment/>
      <protection/>
    </xf>
    <xf numFmtId="37" fontId="1" fillId="0" borderId="0" xfId="26" applyNumberFormat="1" applyFont="1" applyFill="1" applyProtection="1">
      <alignment/>
      <protection/>
    </xf>
    <xf numFmtId="168" fontId="1" fillId="0" borderId="0" xfId="26" applyNumberFormat="1" applyFont="1" applyFill="1" applyProtection="1">
      <alignment/>
      <protection/>
    </xf>
    <xf numFmtId="3" fontId="1" fillId="0" borderId="0" xfId="26" applyNumberFormat="1" applyFont="1" applyFill="1" applyProtection="1">
      <alignment/>
      <protection/>
    </xf>
    <xf numFmtId="0" fontId="1" fillId="0" borderId="0" xfId="28" applyFont="1" applyFill="1">
      <alignment/>
      <protection/>
    </xf>
    <xf numFmtId="0" fontId="1" fillId="0" borderId="0" xfId="28" applyFont="1" applyFill="1" applyAlignment="1">
      <alignment horizontal="center"/>
      <protection/>
    </xf>
    <xf numFmtId="165" fontId="1" fillId="0" borderId="0" xfId="26" applyNumberFormat="1" applyFont="1" applyFill="1" applyProtection="1">
      <alignment/>
      <protection/>
    </xf>
    <xf numFmtId="168" fontId="1" fillId="0" borderId="0" xfId="26" applyNumberFormat="1" applyFont="1" applyFill="1" applyAlignment="1" applyProtection="1">
      <alignment horizontal="right"/>
      <protection/>
    </xf>
    <xf numFmtId="5" fontId="1" fillId="0" borderId="0" xfId="26" applyNumberFormat="1" applyFont="1" applyFill="1">
      <alignment/>
      <protection/>
    </xf>
    <xf numFmtId="37" fontId="1" fillId="0" borderId="0" xfId="26" applyFont="1" applyFill="1" applyAlignment="1">
      <alignment wrapText="1"/>
      <protection/>
    </xf>
    <xf numFmtId="37" fontId="1" fillId="0" borderId="0" xfId="28" applyNumberFormat="1" applyFont="1" applyFill="1" applyProtection="1">
      <alignment/>
      <protection/>
    </xf>
    <xf numFmtId="37" fontId="1" fillId="0" borderId="0" xfId="28" applyNumberFormat="1" applyFont="1" applyFill="1" applyAlignment="1" applyProtection="1">
      <alignment horizontal="center"/>
      <protection/>
    </xf>
    <xf numFmtId="5" fontId="1" fillId="0" borderId="0" xfId="26" applyNumberFormat="1" applyFont="1" applyFill="1" applyAlignment="1" applyProtection="1">
      <alignment horizontal="left"/>
      <protection/>
    </xf>
    <xf numFmtId="37" fontId="1" fillId="0" borderId="0" xfId="28" applyNumberFormat="1" applyFont="1" applyFill="1" applyAlignment="1" applyProtection="1">
      <alignment horizontal="left"/>
      <protection/>
    </xf>
    <xf numFmtId="168" fontId="1" fillId="0" borderId="0" xfId="26" applyNumberFormat="1" applyFont="1" applyFill="1" applyAlignment="1" applyProtection="1">
      <alignment horizontal="left"/>
      <protection/>
    </xf>
    <xf numFmtId="37" fontId="1" fillId="0" borderId="0" xfId="26" applyNumberFormat="1" applyFont="1" applyFill="1" applyAlignment="1" applyProtection="1">
      <alignment horizontal="right"/>
      <protection/>
    </xf>
    <xf numFmtId="5" fontId="1" fillId="0" borderId="0" xfId="26" applyNumberFormat="1" applyFont="1" applyFill="1" applyAlignment="1" applyProtection="1">
      <alignment horizontal="right"/>
      <protection/>
    </xf>
    <xf numFmtId="168" fontId="1" fillId="0" borderId="0" xfId="28" applyNumberFormat="1" applyFont="1" applyFill="1" applyProtection="1">
      <alignment/>
      <protection/>
    </xf>
    <xf numFmtId="37" fontId="1" fillId="0" borderId="1" xfId="26" applyNumberFormat="1" applyFont="1" applyFill="1" applyBorder="1" applyAlignment="1" applyProtection="1">
      <alignment horizontal="left"/>
      <protection/>
    </xf>
    <xf numFmtId="37" fontId="1" fillId="0" borderId="1" xfId="26" applyFont="1" applyFill="1" applyBorder="1">
      <alignment/>
      <protection/>
    </xf>
    <xf numFmtId="5" fontId="1" fillId="0" borderId="1" xfId="26" applyNumberFormat="1" applyFont="1" applyFill="1" applyBorder="1" applyProtection="1">
      <alignment/>
      <protection/>
    </xf>
    <xf numFmtId="37" fontId="1" fillId="0" borderId="0" xfId="26" applyNumberFormat="1" applyFont="1" applyFill="1" applyBorder="1" applyAlignment="1" applyProtection="1">
      <alignment horizontal="left"/>
      <protection/>
    </xf>
    <xf numFmtId="5" fontId="1" fillId="0" borderId="0" xfId="26" applyNumberFormat="1" applyFont="1" applyFill="1" applyBorder="1" applyProtection="1">
      <alignment/>
      <protection/>
    </xf>
    <xf numFmtId="37" fontId="7" fillId="0" borderId="0" xfId="26" applyNumberFormat="1" applyFont="1" applyFill="1" applyBorder="1" applyAlignment="1" applyProtection="1">
      <alignment horizontal="left"/>
      <protection/>
    </xf>
    <xf numFmtId="37" fontId="1" fillId="0" borderId="0" xfId="26" applyFont="1" applyFill="1" applyAlignment="1">
      <alignment horizontal="center"/>
      <protection/>
    </xf>
    <xf numFmtId="37" fontId="1" fillId="0" borderId="0" xfId="26" applyFont="1" applyFill="1" applyBorder="1" applyAlignment="1">
      <alignment wrapText="1"/>
      <protection/>
    </xf>
    <xf numFmtId="5" fontId="6" fillId="0" borderId="0" xfId="26" applyNumberFormat="1" applyFont="1" applyFill="1" applyAlignment="1" applyProtection="1">
      <alignment horizontal="right"/>
      <protection/>
    </xf>
    <xf numFmtId="0" fontId="6" fillId="0" borderId="0" xfId="29" applyFont="1" applyBorder="1" applyAlignment="1" applyProtection="1">
      <alignment wrapText="1"/>
      <protection locked="0"/>
    </xf>
    <xf numFmtId="0" fontId="1" fillId="0" borderId="0" xfId="29" applyFont="1" applyFill="1" applyBorder="1" applyAlignment="1" applyProtection="1">
      <alignment wrapText="1"/>
      <protection locked="0"/>
    </xf>
    <xf numFmtId="0" fontId="1" fillId="0" borderId="0" xfId="29" applyFont="1" applyBorder="1" applyAlignment="1" applyProtection="1">
      <alignment wrapText="1"/>
      <protection locked="0"/>
    </xf>
    <xf numFmtId="0" fontId="1" fillId="0" borderId="0" xfId="29" applyFont="1" applyFill="1" applyBorder="1" applyAlignment="1" applyProtection="1">
      <alignment horizontal="left" wrapText="1" indent="1"/>
      <protection locked="0"/>
    </xf>
    <xf numFmtId="164" fontId="1" fillId="0" borderId="0" xfId="29" applyNumberFormat="1" applyFont="1" applyFill="1" applyBorder="1" applyAlignment="1" applyProtection="1">
      <alignment horizontal="right" wrapText="1"/>
      <protection locked="0"/>
    </xf>
    <xf numFmtId="0" fontId="6" fillId="0" borderId="0" xfId="29" applyFont="1" applyFill="1" applyBorder="1" applyAlignment="1" applyProtection="1">
      <alignment wrapText="1"/>
      <protection locked="0"/>
    </xf>
    <xf numFmtId="166" fontId="1" fillId="0" borderId="0" xfId="26" applyNumberFormat="1" applyFont="1" applyFill="1" applyProtection="1">
      <alignment/>
      <protection/>
    </xf>
    <xf numFmtId="0" fontId="6" fillId="0" borderId="6" xfId="27" applyFont="1" applyFill="1" applyBorder="1" applyAlignment="1">
      <alignment horizontal="center" wrapText="1"/>
      <protection/>
    </xf>
    <xf numFmtId="5" fontId="6" fillId="0" borderId="0" xfId="25" applyNumberFormat="1" applyFont="1" applyFill="1" applyProtection="1">
      <alignment/>
      <protection/>
    </xf>
    <xf numFmtId="5" fontId="6" fillId="0" borderId="0" xfId="25" applyNumberFormat="1" applyFont="1" applyFill="1" applyBorder="1" applyProtection="1">
      <alignment/>
      <protection/>
    </xf>
    <xf numFmtId="5" fontId="6" fillId="0" borderId="1" xfId="25" applyNumberFormat="1" applyFont="1" applyFill="1" applyBorder="1" applyProtection="1">
      <alignment/>
      <protection/>
    </xf>
    <xf numFmtId="37" fontId="6" fillId="0" borderId="0" xfId="26" applyNumberFormat="1" applyFont="1" applyFill="1" applyBorder="1" applyAlignment="1" applyProtection="1">
      <alignment horizontal="center" wrapText="1"/>
      <protection/>
    </xf>
    <xf numFmtId="5" fontId="6" fillId="0" borderId="0" xfId="26" applyNumberFormat="1" applyFont="1" applyFill="1" applyProtection="1">
      <alignment/>
      <protection/>
    </xf>
    <xf numFmtId="5" fontId="6" fillId="0" borderId="1" xfId="26" applyNumberFormat="1" applyFont="1" applyFill="1" applyBorder="1" applyProtection="1">
      <alignment/>
      <protection/>
    </xf>
    <xf numFmtId="37" fontId="6" fillId="0" borderId="6" xfId="25" applyNumberFormat="1" applyFont="1" applyFill="1" applyBorder="1" applyAlignment="1" applyProtection="1">
      <alignment horizontal="center" wrapText="1"/>
      <protection/>
    </xf>
    <xf numFmtId="0" fontId="18" fillId="0" borderId="0" xfId="24" applyFont="1" applyFill="1" applyAlignment="1">
      <alignment wrapText="1"/>
      <protection/>
    </xf>
    <xf numFmtId="164" fontId="18" fillId="0" borderId="0" xfId="24" applyNumberFormat="1" applyFont="1" applyFill="1">
      <alignment/>
      <protection/>
    </xf>
    <xf numFmtId="0" fontId="6" fillId="0" borderId="0" xfId="27" applyFont="1" applyFill="1" applyAlignment="1">
      <alignment horizontal="left" wrapText="1"/>
      <protection/>
    </xf>
    <xf numFmtId="0" fontId="7" fillId="0" borderId="0" xfId="27" applyFont="1" applyFill="1" applyAlignment="1">
      <alignment horizontal="left" wrapText="1"/>
      <protection/>
    </xf>
    <xf numFmtId="0" fontId="6" fillId="0" borderId="0" xfId="28" applyFont="1" applyFill="1" applyAlignment="1">
      <alignment horizontal="left" wrapText="1"/>
      <protection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24" applyFont="1" applyFill="1" applyAlignment="1">
      <alignment horizontal="left" wrapText="1"/>
      <protection/>
    </xf>
    <xf numFmtId="0" fontId="0" fillId="0" borderId="0" xfId="0" applyAlignment="1">
      <alignment horizontal="left"/>
    </xf>
  </cellXfs>
  <cellStyles count="17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2005-LIHEAP Allocations-$1.884B-FINAL" xfId="25"/>
    <cellStyle name="Normal_2006-LIHEAP Alloc-$2 0B (2)" xfId="26"/>
    <cellStyle name="Normal_2008-$1 98B New Formula NO LEV SetAside_StAngelo" xfId="27"/>
    <cellStyle name="Normal_2008-$1 98B_BG_200803Mar13(NCIDC_Corr)" xfId="28"/>
    <cellStyle name="Normal_2009-$4 5B Block-StatesTribes 10 3 08_noLevorT&amp;TA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30" zoomScaleNormal="130" workbookViewId="0" topLeftCell="A1">
      <pane xSplit="1" ySplit="5" topLeftCell="B6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3" sqref="A3"/>
    </sheetView>
  </sheetViews>
  <sheetFormatPr defaultColWidth="9.33203125" defaultRowHeight="12.75"/>
  <cols>
    <col min="1" max="1" width="41.66015625" style="95" customWidth="1"/>
    <col min="2" max="2" width="17.5" style="95" customWidth="1"/>
    <col min="3" max="3" width="24.83203125" style="95" hidden="1" customWidth="1"/>
    <col min="4" max="4" width="28" style="95" customWidth="1"/>
    <col min="5" max="5" width="22.66015625" style="95" customWidth="1"/>
    <col min="6" max="6" width="23.83203125" style="95" customWidth="1"/>
    <col min="7" max="7" width="19.5" style="95" customWidth="1"/>
    <col min="8" max="9" width="14.83203125" style="95" customWidth="1"/>
    <col min="10" max="10" width="13.66015625" style="95" customWidth="1"/>
    <col min="11" max="11" width="8" style="95" customWidth="1"/>
    <col min="12" max="12" width="13.66015625" style="95" customWidth="1"/>
    <col min="13" max="16384" width="11.83203125" style="95" customWidth="1"/>
  </cols>
  <sheetData>
    <row r="1" spans="1:6" s="94" customFormat="1" ht="12.75" customHeight="1">
      <c r="A1" s="188" t="str">
        <f>"FY 2009 Low Income Home Energy Assistance Program (LIHEAP) State and Territory Allocations at "&amp;TEXT($D$3/1000000000,"$0.00")&amp;" Billion"</f>
        <v>FY 2009 Low Income Home Energy Assistance Program (LIHEAP) State and Territory Allocations at $4.51 Billion</v>
      </c>
      <c r="B1" s="188"/>
      <c r="C1" s="188"/>
      <c r="D1" s="188"/>
      <c r="E1" s="188"/>
      <c r="F1" s="188"/>
    </row>
    <row r="2" spans="1:6" ht="14.25" customHeight="1">
      <c r="A2" s="189" t="s">
        <v>113</v>
      </c>
      <c r="B2" s="189"/>
      <c r="C2" s="189"/>
      <c r="D2" s="189"/>
      <c r="E2" s="189"/>
      <c r="F2" s="189"/>
    </row>
    <row r="3" spans="1:6" ht="12.75">
      <c r="A3" s="96"/>
      <c r="B3" s="97"/>
      <c r="D3" s="98">
        <v>4509672000</v>
      </c>
      <c r="E3" s="99" t="s">
        <v>114</v>
      </c>
      <c r="F3" s="100"/>
    </row>
    <row r="4" spans="1:6" ht="15" customHeight="1">
      <c r="A4" s="101">
        <f>'FY09 Gross Allco'!$A$5</f>
        <v>39737</v>
      </c>
      <c r="B4" s="102"/>
      <c r="D4" s="99"/>
      <c r="F4" s="103"/>
    </row>
    <row r="5" spans="1:6" ht="12.75">
      <c r="A5" s="104" t="s">
        <v>0</v>
      </c>
      <c r="B5" s="104"/>
      <c r="C5" s="104" t="s">
        <v>115</v>
      </c>
      <c r="D5" s="104" t="s">
        <v>116</v>
      </c>
      <c r="E5" s="105" t="s">
        <v>117</v>
      </c>
      <c r="F5" s="178" t="s">
        <v>118</v>
      </c>
    </row>
    <row r="6" spans="4:6" ht="12.75">
      <c r="D6" s="99"/>
      <c r="F6" s="94"/>
    </row>
    <row r="7" spans="1:6" ht="12.75">
      <c r="A7" s="99" t="s">
        <v>1</v>
      </c>
      <c r="B7" s="99"/>
      <c r="C7" s="106">
        <v>0.00860045</v>
      </c>
      <c r="D7" s="107">
        <f>'FY09 Gross Allco'!D10</f>
        <v>60062668</v>
      </c>
      <c r="E7" s="108">
        <f>'FY 09 Tribes'!H12</f>
        <v>413496</v>
      </c>
      <c r="F7" s="179">
        <f aca="true" t="shared" si="0" ref="F7:F38">D7-E7</f>
        <v>59649172</v>
      </c>
    </row>
    <row r="8" spans="1:6" ht="12.75">
      <c r="A8" s="99" t="s">
        <v>2</v>
      </c>
      <c r="B8" s="99"/>
      <c r="C8" s="106">
        <v>0.00548986</v>
      </c>
      <c r="D8" s="107">
        <f>'FY09 Gross Allco'!D11</f>
        <v>23568461</v>
      </c>
      <c r="E8" s="108">
        <f>'FY 09 Tribes'!H17</f>
        <v>7235517</v>
      </c>
      <c r="F8" s="179">
        <f t="shared" si="0"/>
        <v>16332944</v>
      </c>
    </row>
    <row r="9" spans="1:6" ht="12.75">
      <c r="A9" s="99" t="s">
        <v>3</v>
      </c>
      <c r="B9" s="99"/>
      <c r="C9" s="106">
        <v>0.00415928</v>
      </c>
      <c r="D9" s="107">
        <f>'FY09 Gross Allco'!D12</f>
        <v>29047021</v>
      </c>
      <c r="E9" s="108">
        <f>'FY 09 Tribes'!H27</f>
        <v>2202950</v>
      </c>
      <c r="F9" s="179">
        <f t="shared" si="0"/>
        <v>26844071</v>
      </c>
    </row>
    <row r="10" spans="1:6" ht="12.75">
      <c r="A10" s="99" t="s">
        <v>4</v>
      </c>
      <c r="B10" s="99"/>
      <c r="C10" s="106">
        <v>0.00656255</v>
      </c>
      <c r="D10" s="107">
        <f>'FY09 Gross Allco'!D13</f>
        <v>36497448</v>
      </c>
      <c r="E10" s="108"/>
      <c r="F10" s="179">
        <f t="shared" si="0"/>
        <v>36497448</v>
      </c>
    </row>
    <row r="11" spans="1:6" ht="12.75">
      <c r="A11" s="99" t="s">
        <v>5</v>
      </c>
      <c r="B11" s="99"/>
      <c r="C11" s="106">
        <v>0.04613891</v>
      </c>
      <c r="D11" s="107">
        <f>'FY09 Gross Allco'!D14</f>
        <v>225894133</v>
      </c>
      <c r="E11" s="108">
        <f>'FY 09 Tribes'!H37</f>
        <v>1905582</v>
      </c>
      <c r="F11" s="179">
        <f t="shared" si="0"/>
        <v>223988551</v>
      </c>
    </row>
    <row r="12" spans="1:6" ht="12.75">
      <c r="A12" s="99" t="s">
        <v>6</v>
      </c>
      <c r="B12" s="99"/>
      <c r="C12" s="106">
        <v>0.0160872</v>
      </c>
      <c r="D12" s="107">
        <f>'FY09 Gross Allco'!D15</f>
        <v>63474192</v>
      </c>
      <c r="E12" s="108"/>
      <c r="F12" s="179">
        <f t="shared" si="0"/>
        <v>63474192</v>
      </c>
    </row>
    <row r="13" spans="1:6" ht="12.75">
      <c r="A13" s="99" t="s">
        <v>7</v>
      </c>
      <c r="B13" s="99"/>
      <c r="C13" s="106">
        <v>0.02098632</v>
      </c>
      <c r="D13" s="107">
        <f>'FY09 Gross Allco'!D16</f>
        <v>95782640</v>
      </c>
      <c r="E13" s="108"/>
      <c r="F13" s="179">
        <f t="shared" si="0"/>
        <v>95782640</v>
      </c>
    </row>
    <row r="14" spans="1:6" ht="12.75">
      <c r="A14" s="99" t="s">
        <v>8</v>
      </c>
      <c r="B14" s="99"/>
      <c r="C14" s="106">
        <v>0.00278553</v>
      </c>
      <c r="D14" s="107">
        <f>'FY09 Gross Allco'!D17</f>
        <v>17384291</v>
      </c>
      <c r="E14" s="108"/>
      <c r="F14" s="179">
        <f t="shared" si="0"/>
        <v>17384291</v>
      </c>
    </row>
    <row r="15" spans="1:6" ht="12.75">
      <c r="A15" s="99" t="s">
        <v>9</v>
      </c>
      <c r="B15" s="99"/>
      <c r="C15" s="106">
        <v>0.00325921</v>
      </c>
      <c r="D15" s="107">
        <f>'FY09 Gross Allco'!D18</f>
        <v>14652784</v>
      </c>
      <c r="E15" s="108"/>
      <c r="F15" s="179">
        <f t="shared" si="0"/>
        <v>14652784</v>
      </c>
    </row>
    <row r="16" spans="1:6" ht="12.75">
      <c r="A16" s="99" t="s">
        <v>10</v>
      </c>
      <c r="B16" s="99"/>
      <c r="C16" s="106">
        <v>0.01360848</v>
      </c>
      <c r="D16" s="107">
        <f>'FY09 Gross Allco'!D19</f>
        <v>95037075</v>
      </c>
      <c r="E16" s="108">
        <f>'FY 09 Tribes'!H61</f>
        <v>24362</v>
      </c>
      <c r="F16" s="179">
        <f t="shared" si="0"/>
        <v>95012713</v>
      </c>
    </row>
    <row r="17" spans="1:6" ht="12.75">
      <c r="A17" s="99" t="s">
        <v>11</v>
      </c>
      <c r="B17" s="99"/>
      <c r="C17" s="106">
        <v>0.01075959</v>
      </c>
      <c r="D17" s="107">
        <f>'FY09 Gross Allco'!D20</f>
        <v>75141381</v>
      </c>
      <c r="E17" s="108"/>
      <c r="F17" s="179">
        <f t="shared" si="0"/>
        <v>75141381</v>
      </c>
    </row>
    <row r="18" spans="1:6" ht="12.75">
      <c r="A18" s="99" t="s">
        <v>12</v>
      </c>
      <c r="B18" s="99"/>
      <c r="C18" s="106">
        <v>0.00108355</v>
      </c>
      <c r="D18" s="107">
        <f>'FY09 Gross Allco'!D21</f>
        <v>4651781</v>
      </c>
      <c r="E18" s="108"/>
      <c r="F18" s="179">
        <f t="shared" si="0"/>
        <v>4651781</v>
      </c>
    </row>
    <row r="19" spans="1:6" ht="12.75">
      <c r="A19" s="99" t="s">
        <v>13</v>
      </c>
      <c r="B19" s="99"/>
      <c r="C19" s="106">
        <v>0.00627508</v>
      </c>
      <c r="D19" s="107">
        <f>'FY09 Gross Allco'!D22</f>
        <v>26939480</v>
      </c>
      <c r="E19" s="108">
        <f>'FY 09 Tribes'!H63</f>
        <v>1307238</v>
      </c>
      <c r="F19" s="179">
        <f t="shared" si="0"/>
        <v>25632242</v>
      </c>
    </row>
    <row r="20" spans="1:6" ht="12.75">
      <c r="A20" s="99" t="s">
        <v>14</v>
      </c>
      <c r="B20" s="99"/>
      <c r="C20" s="106">
        <v>0.05808651</v>
      </c>
      <c r="D20" s="107">
        <f>'FY09 Gross Allco'!D23</f>
        <v>237236454</v>
      </c>
      <c r="E20" s="108"/>
      <c r="F20" s="179">
        <f t="shared" si="0"/>
        <v>237236454</v>
      </c>
    </row>
    <row r="21" spans="1:6" ht="12.75">
      <c r="A21" s="99" t="s">
        <v>15</v>
      </c>
      <c r="B21" s="99"/>
      <c r="C21" s="106">
        <v>0.02629994</v>
      </c>
      <c r="D21" s="107">
        <f>'FY09 Gross Allco'!D24</f>
        <v>103608598</v>
      </c>
      <c r="E21" s="108">
        <f>'FY 09 Tribes'!H67</f>
        <v>6664</v>
      </c>
      <c r="F21" s="179">
        <f t="shared" si="0"/>
        <v>103601934</v>
      </c>
    </row>
    <row r="22" spans="1:6" ht="12.75">
      <c r="A22" s="99" t="s">
        <v>16</v>
      </c>
      <c r="B22" s="99"/>
      <c r="C22" s="106">
        <v>0.01863912</v>
      </c>
      <c r="D22" s="107">
        <f>'FY09 Gross Allco'!D25</f>
        <v>67802538</v>
      </c>
      <c r="E22" s="108"/>
      <c r="F22" s="179">
        <f t="shared" si="0"/>
        <v>67802538</v>
      </c>
    </row>
    <row r="23" spans="1:6" ht="12.75">
      <c r="A23" s="99" t="s">
        <v>17</v>
      </c>
      <c r="B23" s="99"/>
      <c r="C23" s="106">
        <v>0.00855992</v>
      </c>
      <c r="D23" s="107">
        <f>'FY09 Gross Allco'!D26</f>
        <v>45349295</v>
      </c>
      <c r="E23" s="108">
        <f>'FY 09 Tribes'!H69</f>
        <v>41400</v>
      </c>
      <c r="F23" s="179">
        <f t="shared" si="0"/>
        <v>45307895</v>
      </c>
    </row>
    <row r="24" spans="1:6" ht="12.75">
      <c r="A24" s="99" t="s">
        <v>18</v>
      </c>
      <c r="B24" s="99"/>
      <c r="C24" s="106">
        <v>0.0136864</v>
      </c>
      <c r="D24" s="107">
        <f>'FY09 Gross Allco'!D27</f>
        <v>68353278</v>
      </c>
      <c r="E24" s="108"/>
      <c r="F24" s="179">
        <f t="shared" si="0"/>
        <v>68353278</v>
      </c>
    </row>
    <row r="25" spans="1:6" ht="12.75">
      <c r="A25" s="99" t="s">
        <v>19</v>
      </c>
      <c r="B25" s="99"/>
      <c r="C25" s="106">
        <v>0.00879264</v>
      </c>
      <c r="D25" s="107">
        <f>'FY09 Gross Allco'!D28</f>
        <v>57196338</v>
      </c>
      <c r="E25" s="108"/>
      <c r="F25" s="179">
        <f t="shared" si="0"/>
        <v>57196338</v>
      </c>
    </row>
    <row r="26" spans="1:6" ht="12.75">
      <c r="A26" s="99" t="s">
        <v>20</v>
      </c>
      <c r="B26" s="99"/>
      <c r="C26" s="106">
        <v>0.01359579</v>
      </c>
      <c r="D26" s="107">
        <f>'FY09 Gross Allco'!D29</f>
        <v>49456684</v>
      </c>
      <c r="E26" s="108">
        <f>'FY 09 Tribes'!H71</f>
        <v>1807642</v>
      </c>
      <c r="F26" s="179">
        <f t="shared" si="0"/>
        <v>47649042</v>
      </c>
    </row>
    <row r="27" spans="1:6" ht="12.75">
      <c r="A27" s="99" t="s">
        <v>21</v>
      </c>
      <c r="B27" s="99"/>
      <c r="C27" s="106">
        <v>0.01606896</v>
      </c>
      <c r="D27" s="107">
        <f>'FY09 Gross Allco'!D30</f>
        <v>101296011</v>
      </c>
      <c r="E27" s="108"/>
      <c r="F27" s="179">
        <f t="shared" si="0"/>
        <v>101296011</v>
      </c>
    </row>
    <row r="28" spans="1:6" ht="12.75">
      <c r="A28" s="99" t="s">
        <v>22</v>
      </c>
      <c r="B28" s="99"/>
      <c r="C28" s="106">
        <v>0.04197959</v>
      </c>
      <c r="D28" s="107">
        <f>'FY09 Gross Allco'!D31</f>
        <v>162980837</v>
      </c>
      <c r="E28" s="108">
        <f>'FY 09 Tribes'!H77</f>
        <v>65192</v>
      </c>
      <c r="F28" s="179">
        <f t="shared" si="0"/>
        <v>162915645</v>
      </c>
    </row>
    <row r="29" spans="1:6" ht="12.75">
      <c r="A29" s="99" t="s">
        <v>23</v>
      </c>
      <c r="B29" s="99"/>
      <c r="C29" s="106">
        <v>0.05514805</v>
      </c>
      <c r="D29" s="107">
        <f>'FY09 Gross Allco'!D32</f>
        <v>222412468</v>
      </c>
      <c r="E29" s="108">
        <f>'FY 09 Tribes'!H79</f>
        <v>1168225</v>
      </c>
      <c r="F29" s="179">
        <f t="shared" si="0"/>
        <v>221244243</v>
      </c>
    </row>
    <row r="30" spans="1:6" ht="12.75">
      <c r="A30" s="99" t="s">
        <v>24</v>
      </c>
      <c r="B30" s="99"/>
      <c r="C30" s="106">
        <v>0.03973105</v>
      </c>
      <c r="D30" s="107">
        <f>'FY09 Gross Allco'!D33</f>
        <v>144527532</v>
      </c>
      <c r="E30" s="108"/>
      <c r="F30" s="179">
        <f t="shared" si="0"/>
        <v>144527532</v>
      </c>
    </row>
    <row r="31" spans="1:6" ht="12.75">
      <c r="A31" s="99" t="s">
        <v>25</v>
      </c>
      <c r="B31" s="99"/>
      <c r="C31" s="106">
        <v>0.00737355</v>
      </c>
      <c r="D31" s="107">
        <f>'FY09 Gross Allco'!D34</f>
        <v>39011051</v>
      </c>
      <c r="E31" s="108">
        <f>'FY 09 Tribes'!H86</f>
        <v>73933</v>
      </c>
      <c r="F31" s="179">
        <f t="shared" si="0"/>
        <v>38937118</v>
      </c>
    </row>
    <row r="32" spans="1:6" ht="12.75">
      <c r="A32" s="99" t="s">
        <v>26</v>
      </c>
      <c r="B32" s="99"/>
      <c r="C32" s="106">
        <v>0.02320202</v>
      </c>
      <c r="D32" s="107">
        <f>'FY09 Gross Allco'!D35</f>
        <v>103541119</v>
      </c>
      <c r="E32" s="108"/>
      <c r="F32" s="179">
        <f t="shared" si="0"/>
        <v>103541119</v>
      </c>
    </row>
    <row r="33" spans="1:6" ht="12.75">
      <c r="A33" s="99" t="s">
        <v>27</v>
      </c>
      <c r="B33" s="99"/>
      <c r="C33" s="106">
        <v>0.00736027</v>
      </c>
      <c r="D33" s="107">
        <f>'FY09 Gross Allco'!D36</f>
        <v>31598299</v>
      </c>
      <c r="E33" s="108">
        <f>'FY 09 Tribes'!H88</f>
        <v>5523573</v>
      </c>
      <c r="F33" s="179">
        <f t="shared" si="0"/>
        <v>26074726</v>
      </c>
    </row>
    <row r="34" spans="1:6" ht="12.75">
      <c r="A34" s="99" t="s">
        <v>28</v>
      </c>
      <c r="B34" s="99"/>
      <c r="C34" s="106">
        <v>0.00921776</v>
      </c>
      <c r="D34" s="107">
        <f>'FY09 Gross Allco'!D37</f>
        <v>39572670</v>
      </c>
      <c r="E34" s="108">
        <f>'FY 09 Tribes'!H95</f>
        <v>15000</v>
      </c>
      <c r="F34" s="179">
        <f t="shared" si="0"/>
        <v>39557670</v>
      </c>
    </row>
    <row r="35" spans="1:6" ht="12.75">
      <c r="A35" s="99" t="s">
        <v>29</v>
      </c>
      <c r="B35" s="99"/>
      <c r="C35" s="106">
        <v>0.00195349</v>
      </c>
      <c r="D35" s="107">
        <f>'FY09 Gross Allco'!D38</f>
        <v>13642522</v>
      </c>
      <c r="E35" s="108"/>
      <c r="F35" s="179">
        <f t="shared" si="0"/>
        <v>13642522</v>
      </c>
    </row>
    <row r="36" spans="1:6" ht="12.75">
      <c r="A36" s="99" t="s">
        <v>30</v>
      </c>
      <c r="B36" s="99"/>
      <c r="C36" s="106">
        <v>0.00794588</v>
      </c>
      <c r="D36" s="107">
        <f>'FY09 Gross Allco'!D39</f>
        <v>34112375</v>
      </c>
      <c r="E36" s="108"/>
      <c r="F36" s="179">
        <f t="shared" si="0"/>
        <v>34112375</v>
      </c>
    </row>
    <row r="37" spans="1:6" ht="12.75">
      <c r="A37" s="99" t="s">
        <v>31</v>
      </c>
      <c r="B37" s="99"/>
      <c r="C37" s="106">
        <v>0.03897152</v>
      </c>
      <c r="D37" s="107">
        <f>'FY09 Gross Allco'!D40</f>
        <v>166690291</v>
      </c>
      <c r="E37" s="108"/>
      <c r="F37" s="179">
        <f t="shared" si="0"/>
        <v>166690291</v>
      </c>
    </row>
    <row r="38" spans="1:6" ht="12.75">
      <c r="A38" s="99" t="s">
        <v>32</v>
      </c>
      <c r="B38" s="99"/>
      <c r="C38" s="106">
        <v>0.00520713</v>
      </c>
      <c r="D38" s="107">
        <f>'FY09 Gross Allco'!D41</f>
        <v>24901274</v>
      </c>
      <c r="E38" s="108">
        <f>'FY 09 Tribes'!H97</f>
        <v>1982430</v>
      </c>
      <c r="F38" s="179">
        <f t="shared" si="0"/>
        <v>22918844</v>
      </c>
    </row>
    <row r="39" spans="1:6" ht="12.75">
      <c r="A39" s="99" t="s">
        <v>33</v>
      </c>
      <c r="B39" s="99"/>
      <c r="C39" s="106">
        <v>0.12724791</v>
      </c>
      <c r="D39" s="107">
        <f>'FY09 Gross Allco'!D42</f>
        <v>475934678</v>
      </c>
      <c r="E39" s="108">
        <f>'FY 09 Tribes'!H105</f>
        <v>525526</v>
      </c>
      <c r="F39" s="179">
        <f aca="true" t="shared" si="1" ref="F39:F57">D39-E39</f>
        <v>475409152</v>
      </c>
    </row>
    <row r="40" spans="1:6" ht="12.75">
      <c r="A40" s="99" t="s">
        <v>34</v>
      </c>
      <c r="B40" s="99"/>
      <c r="C40" s="106">
        <v>0.0189638</v>
      </c>
      <c r="D40" s="107">
        <f>'FY09 Gross Allco'!D43</f>
        <v>123242605</v>
      </c>
      <c r="E40" s="108">
        <f>'FY 09 Tribes'!H108</f>
        <v>2191785</v>
      </c>
      <c r="F40" s="179">
        <f t="shared" si="1"/>
        <v>121050820</v>
      </c>
    </row>
    <row r="41" spans="1:6" ht="12.75">
      <c r="A41" s="99" t="s">
        <v>35</v>
      </c>
      <c r="B41" s="99"/>
      <c r="C41" s="106">
        <v>0.00799548</v>
      </c>
      <c r="D41" s="107">
        <f>'FY09 Gross Allco'!D44</f>
        <v>34325312</v>
      </c>
      <c r="E41" s="108">
        <f>'FY 09 Tribes'!H110</f>
        <v>7026391</v>
      </c>
      <c r="F41" s="179">
        <f t="shared" si="1"/>
        <v>27298921</v>
      </c>
    </row>
    <row r="42" spans="1:6" ht="12.75">
      <c r="A42" s="99" t="s">
        <v>36</v>
      </c>
      <c r="B42" s="99"/>
      <c r="C42" s="106">
        <v>0.0513862</v>
      </c>
      <c r="D42" s="107">
        <f>'FY09 Gross Allco'!D45</f>
        <v>220588408</v>
      </c>
      <c r="E42" s="108"/>
      <c r="F42" s="179">
        <f t="shared" si="1"/>
        <v>220588408</v>
      </c>
    </row>
    <row r="43" spans="1:6" ht="12.75">
      <c r="A43" s="99" t="s">
        <v>37</v>
      </c>
      <c r="B43" s="99"/>
      <c r="C43" s="106">
        <v>0.00790558</v>
      </c>
      <c r="D43" s="107">
        <f>'FY09 Gross Allco'!D46</f>
        <v>49007158</v>
      </c>
      <c r="E43" s="108">
        <f>'FY 09 Tribes'!H115</f>
        <v>4435596</v>
      </c>
      <c r="F43" s="179">
        <f t="shared" si="1"/>
        <v>44571562</v>
      </c>
    </row>
    <row r="44" spans="1:6" ht="12.75">
      <c r="A44" s="99" t="s">
        <v>38</v>
      </c>
      <c r="B44" s="99"/>
      <c r="C44" s="106">
        <v>0.01246826</v>
      </c>
      <c r="D44" s="107">
        <f>'FY09 Gross Allco'!D47</f>
        <v>45355128</v>
      </c>
      <c r="E44" s="108">
        <f>'FY 09 Tribes'!H148</f>
        <v>714661</v>
      </c>
      <c r="F44" s="179">
        <f t="shared" si="1"/>
        <v>44640467</v>
      </c>
    </row>
    <row r="45" spans="1:6" ht="12.75">
      <c r="A45" s="99" t="s">
        <v>39</v>
      </c>
      <c r="B45" s="99"/>
      <c r="C45" s="106">
        <v>0.0683509</v>
      </c>
      <c r="D45" s="107">
        <f>'FY09 Gross Allco'!D48</f>
        <v>274925363</v>
      </c>
      <c r="E45" s="108"/>
      <c r="F45" s="179">
        <f t="shared" si="1"/>
        <v>274925363</v>
      </c>
    </row>
    <row r="46" spans="1:6" ht="12.75">
      <c r="A46" s="99" t="s">
        <v>40</v>
      </c>
      <c r="B46" s="99"/>
      <c r="C46" s="106">
        <v>0.00691008</v>
      </c>
      <c r="D46" s="107">
        <f>'FY09 Gross Allco'!D49</f>
        <v>30208657</v>
      </c>
      <c r="E46" s="108">
        <f>'FY 09 Tribes'!H155</f>
        <v>85595</v>
      </c>
      <c r="F46" s="179">
        <f t="shared" si="1"/>
        <v>30123062</v>
      </c>
    </row>
    <row r="47" spans="1:6" ht="12.75">
      <c r="A47" s="99" t="s">
        <v>41</v>
      </c>
      <c r="B47" s="99"/>
      <c r="C47" s="106">
        <v>0.00683051</v>
      </c>
      <c r="D47" s="107">
        <f>'FY09 Gross Allco'!D50</f>
        <v>47702000</v>
      </c>
      <c r="E47" s="108"/>
      <c r="F47" s="179">
        <f t="shared" si="1"/>
        <v>47702000</v>
      </c>
    </row>
    <row r="48" spans="1:6" ht="12.75">
      <c r="A48" s="99" t="s">
        <v>42</v>
      </c>
      <c r="B48" s="99"/>
      <c r="C48" s="106">
        <v>0.00649373</v>
      </c>
      <c r="D48" s="107">
        <f>'FY09 Gross Allco'!D51</f>
        <v>27878165</v>
      </c>
      <c r="E48" s="108">
        <f>'FY 09 Tribes'!H157</f>
        <v>4956738</v>
      </c>
      <c r="F48" s="179">
        <f t="shared" si="1"/>
        <v>22921427</v>
      </c>
    </row>
    <row r="49" spans="1:6" ht="12.75">
      <c r="A49" s="99" t="s">
        <v>43</v>
      </c>
      <c r="B49" s="99"/>
      <c r="C49" s="106">
        <v>0.01386403</v>
      </c>
      <c r="D49" s="107">
        <f>'FY09 Gross Allco'!D52</f>
        <v>73722827</v>
      </c>
      <c r="E49" s="108"/>
      <c r="F49" s="179">
        <f t="shared" si="1"/>
        <v>73722827</v>
      </c>
    </row>
    <row r="50" spans="1:6" ht="12.75">
      <c r="A50" s="99" t="s">
        <v>44</v>
      </c>
      <c r="B50" s="99"/>
      <c r="C50" s="106">
        <v>0.02263997</v>
      </c>
      <c r="D50" s="107">
        <f>'FY09 Gross Allco'!D53</f>
        <v>158109984</v>
      </c>
      <c r="E50" s="108"/>
      <c r="F50" s="179">
        <f t="shared" si="1"/>
        <v>158109984</v>
      </c>
    </row>
    <row r="51" spans="1:6" ht="12.75">
      <c r="A51" s="99" t="s">
        <v>45</v>
      </c>
      <c r="B51" s="99"/>
      <c r="C51" s="106">
        <v>0.00747576</v>
      </c>
      <c r="D51" s="107">
        <f>'FY09 Gross Allco'!D54</f>
        <v>32094108</v>
      </c>
      <c r="E51" s="108">
        <f>'FY 09 Tribes'!H165</f>
        <v>448570</v>
      </c>
      <c r="F51" s="179">
        <f t="shared" si="1"/>
        <v>31645538</v>
      </c>
    </row>
    <row r="52" spans="1:6" ht="12.75">
      <c r="A52" s="99" t="s">
        <v>46</v>
      </c>
      <c r="B52" s="99"/>
      <c r="C52" s="106">
        <v>0.00595572</v>
      </c>
      <c r="D52" s="107">
        <f>'FY09 Gross Allco'!D55</f>
        <v>25568440</v>
      </c>
      <c r="E52" s="108"/>
      <c r="F52" s="179">
        <f t="shared" si="1"/>
        <v>25568440</v>
      </c>
    </row>
    <row r="53" spans="1:6" ht="12.75">
      <c r="A53" s="99" t="s">
        <v>47</v>
      </c>
      <c r="B53" s="99"/>
      <c r="C53" s="106">
        <v>0.01957379</v>
      </c>
      <c r="D53" s="107">
        <f>'FY09 Gross Allco'!D56</f>
        <v>118083836</v>
      </c>
      <c r="E53" s="108"/>
      <c r="F53" s="179">
        <f t="shared" si="1"/>
        <v>118083836</v>
      </c>
    </row>
    <row r="54" spans="1:6" ht="12.75">
      <c r="A54" s="99" t="s">
        <v>48</v>
      </c>
      <c r="B54" s="99"/>
      <c r="C54" s="106">
        <v>0.02050857</v>
      </c>
      <c r="D54" s="107">
        <f>'FY09 Gross Allco'!D57</f>
        <v>74602937</v>
      </c>
      <c r="E54" s="108">
        <f>'FY 09 Tribes'!H169</f>
        <v>3035325</v>
      </c>
      <c r="F54" s="179">
        <f t="shared" si="1"/>
        <v>71567612</v>
      </c>
    </row>
    <row r="55" spans="1:6" ht="12.75">
      <c r="A55" s="99" t="s">
        <v>49</v>
      </c>
      <c r="B55" s="99"/>
      <c r="C55" s="106">
        <v>0.00905733</v>
      </c>
      <c r="D55" s="107">
        <f>'FY09 Gross Allco'!D58</f>
        <v>40583710</v>
      </c>
      <c r="E55" s="108"/>
      <c r="F55" s="179">
        <f t="shared" si="1"/>
        <v>40583710</v>
      </c>
    </row>
    <row r="56" spans="1:6" ht="12.75">
      <c r="A56" s="99" t="s">
        <v>50</v>
      </c>
      <c r="B56" s="99"/>
      <c r="C56" s="106">
        <v>0.03576365</v>
      </c>
      <c r="D56" s="107">
        <f>'FY09 Gross Allco'!D59</f>
        <v>130095532</v>
      </c>
      <c r="E56" s="108"/>
      <c r="F56" s="179">
        <f t="shared" si="1"/>
        <v>130095532</v>
      </c>
    </row>
    <row r="57" spans="1:6" ht="13.5" thickBot="1">
      <c r="A57" s="109" t="s">
        <v>51</v>
      </c>
      <c r="B57" s="109"/>
      <c r="C57" s="110">
        <v>0.00299313</v>
      </c>
      <c r="D57" s="111">
        <f>'FY09 Gross Allco'!D60</f>
        <v>12849776</v>
      </c>
      <c r="E57" s="111">
        <f>'FY 09 Tribes'!H191</f>
        <v>210000</v>
      </c>
      <c r="F57" s="180">
        <f t="shared" si="1"/>
        <v>12639776</v>
      </c>
    </row>
    <row r="58" spans="1:6" ht="13.5" thickTop="1">
      <c r="A58" s="113" t="s">
        <v>52</v>
      </c>
      <c r="B58" s="113"/>
      <c r="C58" s="106"/>
      <c r="D58" s="108">
        <f>SUM(D7:D57)</f>
        <v>4476301613</v>
      </c>
      <c r="E58" s="108">
        <f>SUM(E7:E57)</f>
        <v>47403391</v>
      </c>
      <c r="F58" s="181">
        <f>SUM(F7:F57)</f>
        <v>4428898222</v>
      </c>
    </row>
    <row r="59" ht="12.75">
      <c r="D59" s="113"/>
    </row>
    <row r="60" spans="1:6" ht="12.75">
      <c r="A60" s="114" t="s">
        <v>80</v>
      </c>
      <c r="B60" s="115">
        <v>4509672000</v>
      </c>
      <c r="C60" s="112">
        <f>D3</f>
        <v>4509672000</v>
      </c>
      <c r="D60" s="104" t="s">
        <v>85</v>
      </c>
      <c r="E60" s="104" t="s">
        <v>87</v>
      </c>
      <c r="F60" s="185" t="s">
        <v>119</v>
      </c>
    </row>
    <row r="61" spans="1:6" ht="12.75">
      <c r="A61" s="116" t="s">
        <v>81</v>
      </c>
      <c r="B61" s="115">
        <f>'FY09_$3.67B_OldFormula'!B64+'FY09_$840M_NewFormula'!E64</f>
        <v>27000000</v>
      </c>
      <c r="C61" s="112">
        <v>0</v>
      </c>
      <c r="D61" s="117" t="s">
        <v>53</v>
      </c>
      <c r="E61" s="118">
        <v>0.01654258</v>
      </c>
      <c r="F61" s="179">
        <f>'FY09 Gross Allco'!D73</f>
        <v>100421</v>
      </c>
    </row>
    <row r="62" spans="1:6" ht="12.75">
      <c r="A62" s="119" t="s">
        <v>96</v>
      </c>
      <c r="B62" s="115">
        <f>(B60-B61)</f>
        <v>4482672000</v>
      </c>
      <c r="C62" s="112">
        <f>C60-C61</f>
        <v>4509672000</v>
      </c>
      <c r="D62" s="117" t="s">
        <v>54</v>
      </c>
      <c r="E62" s="118">
        <v>0.03626904</v>
      </c>
      <c r="F62" s="179">
        <f>'FY09 Gross Allco'!D74</f>
        <v>220167</v>
      </c>
    </row>
    <row r="63" spans="1:6" ht="12.75">
      <c r="A63" s="116" t="s">
        <v>120</v>
      </c>
      <c r="B63" s="115">
        <f>'FY09_$3.67B_OldFormula'!B66+'FY09_$840M_NewFormula'!E66</f>
        <v>300000</v>
      </c>
      <c r="C63" s="112">
        <v>291811</v>
      </c>
      <c r="D63" s="117" t="s">
        <v>55</v>
      </c>
      <c r="E63" s="118">
        <v>0.01259719</v>
      </c>
      <c r="F63" s="179">
        <f>'FY09 Gross Allco'!D75</f>
        <v>76470</v>
      </c>
    </row>
    <row r="64" spans="1:6" ht="12.75">
      <c r="A64" s="119" t="s">
        <v>96</v>
      </c>
      <c r="B64" s="115">
        <f>(B62-B63)</f>
        <v>4482372000</v>
      </c>
      <c r="C64" s="112">
        <f>C62-C63</f>
        <v>4509380189</v>
      </c>
      <c r="D64" s="117" t="s">
        <v>56</v>
      </c>
      <c r="E64" s="118">
        <v>0.90029483</v>
      </c>
      <c r="F64" s="179">
        <f>'FY09 Gross Allco'!D76</f>
        <v>5465138</v>
      </c>
    </row>
    <row r="65" spans="1:6" ht="13.5" thickBot="1">
      <c r="A65" s="120" t="s">
        <v>84</v>
      </c>
      <c r="B65" s="121">
        <v>0.00135428</v>
      </c>
      <c r="C65" s="118">
        <v>0.00135428</v>
      </c>
      <c r="D65" s="117" t="s">
        <v>57</v>
      </c>
      <c r="E65" s="118">
        <v>0.03429636</v>
      </c>
      <c r="F65" s="179">
        <f>'FY09 Gross Allco'!D77</f>
        <v>208191</v>
      </c>
    </row>
    <row r="66" spans="1:6" ht="13.5" thickTop="1">
      <c r="A66" s="122" t="s">
        <v>121</v>
      </c>
      <c r="B66" s="123">
        <f>B64*B65</f>
        <v>6070386.75216</v>
      </c>
      <c r="C66" s="112">
        <f>ROUND(C64*C65,0)</f>
        <v>6106963</v>
      </c>
      <c r="D66" s="124" t="s">
        <v>52</v>
      </c>
      <c r="E66" s="125"/>
      <c r="F66" s="181">
        <f>SUM(F61:F65)</f>
        <v>6070387</v>
      </c>
    </row>
    <row r="67" spans="1:7" ht="12.75">
      <c r="A67" s="116" t="s">
        <v>86</v>
      </c>
      <c r="B67" s="126">
        <f>B64-B66</f>
        <v>4476301613.24784</v>
      </c>
      <c r="C67" s="112">
        <f>ROUND(+C64-C66,0)</f>
        <v>4503273226</v>
      </c>
      <c r="D67" s="127"/>
      <c r="E67" s="128"/>
      <c r="F67" s="128"/>
      <c r="G67" s="129"/>
    </row>
    <row r="68" spans="1:6" ht="12.75">
      <c r="A68" s="128"/>
      <c r="B68" s="128"/>
      <c r="C68" s="128"/>
      <c r="D68" s="128"/>
      <c r="E68" s="128"/>
      <c r="F68" s="128"/>
    </row>
  </sheetData>
  <mergeCells count="2">
    <mergeCell ref="A1:F1"/>
    <mergeCell ref="A2:F2"/>
  </mergeCells>
  <printOptions gridLines="1" horizontalCentered="1"/>
  <pageMargins left="0.25" right="0.25" top="0.5" bottom="0.7" header="0.5" footer="0.19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3"/>
  <sheetViews>
    <sheetView zoomScaleSheetLayoutView="70" workbookViewId="0" topLeftCell="A1">
      <pane xSplit="1" ySplit="10" topLeftCell="B11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3" sqref="A3"/>
    </sheetView>
  </sheetViews>
  <sheetFormatPr defaultColWidth="20.83203125" defaultRowHeight="12.75"/>
  <cols>
    <col min="1" max="1" width="52.33203125" style="131" customWidth="1"/>
    <col min="2" max="2" width="35.33203125" style="131" bestFit="1" customWidth="1"/>
    <col min="3" max="3" width="17.83203125" style="131" customWidth="1"/>
    <col min="4" max="4" width="16.66015625" style="131" customWidth="1"/>
    <col min="5" max="5" width="19.33203125" style="131" customWidth="1"/>
    <col min="6" max="6" width="20" style="131" customWidth="1"/>
    <col min="7" max="7" width="20.66015625" style="131" bestFit="1" customWidth="1"/>
    <col min="8" max="8" width="14.16015625" style="131" bestFit="1" customWidth="1"/>
    <col min="9" max="9" width="17.5" style="131" bestFit="1" customWidth="1"/>
    <col min="10" max="10" width="16.66015625" style="131" bestFit="1" customWidth="1"/>
    <col min="11" max="11" width="2.33203125" style="131" customWidth="1"/>
    <col min="12" max="16384" width="20.83203125" style="131" customWidth="1"/>
  </cols>
  <sheetData>
    <row r="1" spans="1:10" ht="12.75" customHeight="1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30"/>
    </row>
    <row r="2" spans="1:4" ht="12.75">
      <c r="A2" s="94" t="s">
        <v>123</v>
      </c>
      <c r="B2" s="98">
        <v>4509672000</v>
      </c>
      <c r="D2" s="99" t="s">
        <v>124</v>
      </c>
    </row>
    <row r="3" spans="2:10" ht="12.75">
      <c r="B3" s="132"/>
      <c r="C3" s="99"/>
      <c r="D3" s="99"/>
      <c r="F3" s="100"/>
      <c r="J3" s="133"/>
    </row>
    <row r="4" spans="1:4" ht="14.25" customHeight="1">
      <c r="A4" s="134" t="s">
        <v>125</v>
      </c>
      <c r="D4" s="101">
        <f>'FY 09 State Allotments'!$A$4</f>
        <v>39737</v>
      </c>
    </row>
    <row r="5" spans="1:2" ht="12.75">
      <c r="A5" s="135" t="s">
        <v>126</v>
      </c>
      <c r="B5" s="135" t="s">
        <v>127</v>
      </c>
    </row>
    <row r="6" spans="1:2" ht="12.75">
      <c r="A6" s="135" t="s">
        <v>128</v>
      </c>
      <c r="B6" s="135" t="s">
        <v>129</v>
      </c>
    </row>
    <row r="7" spans="1:10" ht="12.75">
      <c r="A7" s="135" t="s">
        <v>130</v>
      </c>
      <c r="B7" s="135" t="s">
        <v>131</v>
      </c>
      <c r="J7" s="136"/>
    </row>
    <row r="8" spans="1:10" ht="12.75">
      <c r="A8" s="135" t="s">
        <v>132</v>
      </c>
      <c r="B8" s="135" t="s">
        <v>133</v>
      </c>
      <c r="J8" s="136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48"/>
    </row>
    <row r="10" spans="1:10" s="139" customFormat="1" ht="45.75" customHeight="1">
      <c r="A10" s="137" t="s">
        <v>134</v>
      </c>
      <c r="B10" s="137" t="s">
        <v>135</v>
      </c>
      <c r="C10" s="137" t="s">
        <v>136</v>
      </c>
      <c r="D10" s="137" t="s">
        <v>137</v>
      </c>
      <c r="E10" s="137" t="s">
        <v>138</v>
      </c>
      <c r="F10" s="138" t="s">
        <v>139</v>
      </c>
      <c r="G10" s="182" t="s">
        <v>140</v>
      </c>
      <c r="H10" s="137" t="s">
        <v>141</v>
      </c>
      <c r="I10" s="137" t="s">
        <v>142</v>
      </c>
      <c r="J10" s="138" t="s">
        <v>143</v>
      </c>
    </row>
    <row r="11" ht="12.75">
      <c r="G11" s="136"/>
    </row>
    <row r="12" spans="1:9" ht="12.75">
      <c r="A12" s="140" t="s">
        <v>1</v>
      </c>
      <c r="E12" s="141">
        <f>'FY 09 State Allotments'!D7</f>
        <v>60062668</v>
      </c>
      <c r="G12" s="136"/>
      <c r="H12" s="141">
        <f>SUM(G13:G16)</f>
        <v>413496</v>
      </c>
      <c r="I12" s="141">
        <f>E12-H12</f>
        <v>59649172</v>
      </c>
    </row>
    <row r="13" spans="1:11" ht="12.75">
      <c r="A13" s="131" t="s">
        <v>144</v>
      </c>
      <c r="B13" s="131">
        <v>449603</v>
      </c>
      <c r="C13" s="131">
        <v>96</v>
      </c>
      <c r="D13" s="142" t="s">
        <v>145</v>
      </c>
      <c r="E13" s="141"/>
      <c r="F13" s="143">
        <f>C13/B13</f>
        <v>0.00021352170692811212</v>
      </c>
      <c r="G13" s="183">
        <f>ROUND($E$12*F13,0)</f>
        <v>12825</v>
      </c>
      <c r="H13" s="141"/>
      <c r="J13" s="144">
        <f>G13/$E$12</f>
        <v>0.0002135269781888477</v>
      </c>
      <c r="K13" s="141"/>
    </row>
    <row r="14" spans="1:11" ht="12.75">
      <c r="A14" s="135" t="s">
        <v>146</v>
      </c>
      <c r="B14" s="145">
        <v>449603</v>
      </c>
      <c r="C14" s="135" t="s">
        <v>69</v>
      </c>
      <c r="D14" s="142" t="s">
        <v>147</v>
      </c>
      <c r="E14" s="141"/>
      <c r="F14" s="146">
        <v>0.00317</v>
      </c>
      <c r="G14" s="183">
        <f>ROUND($E$12*F14,0)</f>
        <v>190399</v>
      </c>
      <c r="H14" s="141"/>
      <c r="I14" s="141"/>
      <c r="J14" s="144">
        <f>G14/$E$12</f>
        <v>0.0031700057013784337</v>
      </c>
      <c r="K14" s="141"/>
    </row>
    <row r="15" spans="1:11" ht="12.75">
      <c r="A15" s="135" t="s">
        <v>148</v>
      </c>
      <c r="B15" s="145">
        <v>449603</v>
      </c>
      <c r="C15" s="145">
        <v>1075</v>
      </c>
      <c r="D15" s="142" t="s">
        <v>145</v>
      </c>
      <c r="E15" s="141"/>
      <c r="F15" s="146">
        <f>C15/B15</f>
        <v>0.0023909982807054225</v>
      </c>
      <c r="G15" s="183">
        <f>ROUND($E$12*F15,0)</f>
        <v>143610</v>
      </c>
      <c r="H15" s="141"/>
      <c r="I15" s="141"/>
      <c r="J15" s="144">
        <f>G15/$E$12</f>
        <v>0.0023910026774035414</v>
      </c>
      <c r="K15" s="141"/>
    </row>
    <row r="16" spans="1:11" ht="12.75">
      <c r="A16" s="135" t="s">
        <v>149</v>
      </c>
      <c r="B16" s="131">
        <v>449603</v>
      </c>
      <c r="C16" s="131">
        <v>499</v>
      </c>
      <c r="D16" s="142" t="s">
        <v>145</v>
      </c>
      <c r="E16" s="141"/>
      <c r="F16" s="146">
        <f>C16/B16</f>
        <v>0.0011098680391367496</v>
      </c>
      <c r="G16" s="183">
        <f>ROUND($E$12*F16,0)</f>
        <v>66662</v>
      </c>
      <c r="H16" s="141"/>
      <c r="I16" s="141"/>
      <c r="J16" s="144">
        <f>G16/$E$12</f>
        <v>0.0011098741068245586</v>
      </c>
      <c r="K16" s="141"/>
    </row>
    <row r="17" spans="1:11" ht="12.75">
      <c r="A17" s="140" t="s">
        <v>2</v>
      </c>
      <c r="E17" s="141">
        <f>'FY 09 State Allotments'!D8</f>
        <v>23568461</v>
      </c>
      <c r="F17" s="146"/>
      <c r="G17" s="136"/>
      <c r="H17" s="141">
        <f>SUM(G18:G26)</f>
        <v>7235517</v>
      </c>
      <c r="I17" s="141">
        <f>E17-H17</f>
        <v>16332944</v>
      </c>
      <c r="K17" s="141"/>
    </row>
    <row r="18" spans="1:11" ht="12.75">
      <c r="A18" s="135" t="s">
        <v>150</v>
      </c>
      <c r="B18" s="145">
        <v>54295</v>
      </c>
      <c r="C18" s="147">
        <v>164</v>
      </c>
      <c r="D18" s="142" t="s">
        <v>147</v>
      </c>
      <c r="E18" s="141"/>
      <c r="F18" s="146">
        <v>0.00854</v>
      </c>
      <c r="G18" s="183">
        <f aca="true" t="shared" si="0" ref="G18:G26">ROUND($E$17*F18,0)</f>
        <v>201275</v>
      </c>
      <c r="H18" s="141"/>
      <c r="I18" s="135"/>
      <c r="J18" s="144">
        <f aca="true" t="shared" si="1" ref="J18:J26">G18/$E$17</f>
        <v>0.00854001455589315</v>
      </c>
      <c r="K18" s="141"/>
    </row>
    <row r="19" spans="1:11" ht="12.75">
      <c r="A19" s="135" t="s">
        <v>151</v>
      </c>
      <c r="B19" s="145">
        <v>54295</v>
      </c>
      <c r="C19" s="147">
        <v>2029</v>
      </c>
      <c r="D19" s="142" t="s">
        <v>147</v>
      </c>
      <c r="E19" s="141"/>
      <c r="F19" s="146">
        <v>0.13824948</v>
      </c>
      <c r="G19" s="183">
        <f t="shared" si="0"/>
        <v>3258327</v>
      </c>
      <c r="H19" s="141"/>
      <c r="I19" s="135"/>
      <c r="J19" s="144">
        <f t="shared" si="1"/>
        <v>0.13824945973349723</v>
      </c>
      <c r="K19" s="141"/>
    </row>
    <row r="20" spans="1:11" ht="12.75">
      <c r="A20" s="135" t="s">
        <v>152</v>
      </c>
      <c r="B20" s="145">
        <v>54295</v>
      </c>
      <c r="C20" s="147">
        <v>111</v>
      </c>
      <c r="D20" s="142" t="s">
        <v>147</v>
      </c>
      <c r="E20" s="141"/>
      <c r="F20" s="146">
        <v>0.0068015</v>
      </c>
      <c r="G20" s="183">
        <f t="shared" si="0"/>
        <v>160301</v>
      </c>
      <c r="H20" s="141"/>
      <c r="J20" s="144">
        <f t="shared" si="1"/>
        <v>0.0068015047736888715</v>
      </c>
      <c r="K20" s="141"/>
    </row>
    <row r="21" spans="1:11" ht="12.75">
      <c r="A21" s="135" t="s">
        <v>153</v>
      </c>
      <c r="B21" s="145">
        <v>54295</v>
      </c>
      <c r="C21" s="147">
        <v>229</v>
      </c>
      <c r="D21" s="142" t="s">
        <v>147</v>
      </c>
      <c r="E21" s="141"/>
      <c r="F21" s="146">
        <v>0.02074</v>
      </c>
      <c r="G21" s="183">
        <f t="shared" si="0"/>
        <v>488810</v>
      </c>
      <c r="H21" s="141"/>
      <c r="I21" s="135"/>
      <c r="J21" s="144">
        <f t="shared" si="1"/>
        <v>0.020740005043180375</v>
      </c>
      <c r="K21" s="141"/>
    </row>
    <row r="22" spans="1:11" ht="12.75">
      <c r="A22" s="135" t="s">
        <v>154</v>
      </c>
      <c r="B22" s="145">
        <v>54295</v>
      </c>
      <c r="C22" s="147">
        <v>275</v>
      </c>
      <c r="D22" s="142" t="s">
        <v>147</v>
      </c>
      <c r="E22" s="141"/>
      <c r="F22" s="146">
        <v>0.008235</v>
      </c>
      <c r="G22" s="183">
        <f t="shared" si="0"/>
        <v>194086</v>
      </c>
      <c r="H22" s="141"/>
      <c r="J22" s="144">
        <f t="shared" si="1"/>
        <v>0.008234988275220855</v>
      </c>
      <c r="K22" s="141"/>
    </row>
    <row r="23" spans="1:11" ht="12.75">
      <c r="A23" s="135" t="s">
        <v>155</v>
      </c>
      <c r="B23" s="145">
        <v>54295</v>
      </c>
      <c r="C23" s="147">
        <v>8</v>
      </c>
      <c r="D23" s="142" t="s">
        <v>147</v>
      </c>
      <c r="E23" s="141"/>
      <c r="F23" s="146">
        <v>0.0007015</v>
      </c>
      <c r="G23" s="183">
        <f t="shared" si="0"/>
        <v>16533</v>
      </c>
      <c r="H23" s="141"/>
      <c r="J23" s="144">
        <f t="shared" si="1"/>
        <v>0.0007014883152531682</v>
      </c>
      <c r="K23" s="141"/>
    </row>
    <row r="24" spans="1:11" ht="12.75">
      <c r="A24" s="135" t="s">
        <v>156</v>
      </c>
      <c r="B24" s="145">
        <v>54295</v>
      </c>
      <c r="C24" s="147">
        <v>1385</v>
      </c>
      <c r="D24" s="142" t="s">
        <v>147</v>
      </c>
      <c r="E24" s="141"/>
      <c r="F24" s="146">
        <v>0.07750751</v>
      </c>
      <c r="G24" s="183">
        <f t="shared" si="0"/>
        <v>1826733</v>
      </c>
      <c r="H24" s="141"/>
      <c r="J24" s="144">
        <f t="shared" si="1"/>
        <v>0.07750752159846161</v>
      </c>
      <c r="K24" s="141"/>
    </row>
    <row r="25" spans="1:11" ht="12.75">
      <c r="A25" s="135" t="s">
        <v>157</v>
      </c>
      <c r="B25" s="145">
        <v>54295</v>
      </c>
      <c r="C25" s="147">
        <v>1171</v>
      </c>
      <c r="D25" s="142" t="s">
        <v>147</v>
      </c>
      <c r="E25" s="141"/>
      <c r="F25" s="146">
        <v>0.044225</v>
      </c>
      <c r="G25" s="183">
        <f t="shared" si="0"/>
        <v>1042315</v>
      </c>
      <c r="H25" s="141"/>
      <c r="I25" s="135"/>
      <c r="J25" s="144">
        <f t="shared" si="1"/>
        <v>0.04422499203490631</v>
      </c>
      <c r="K25" s="141"/>
    </row>
    <row r="26" spans="1:11" ht="12.75">
      <c r="A26" s="148" t="s">
        <v>158</v>
      </c>
      <c r="B26" s="145">
        <v>54295</v>
      </c>
      <c r="C26" s="148">
        <v>77</v>
      </c>
      <c r="D26" s="142" t="s">
        <v>147</v>
      </c>
      <c r="E26" s="141"/>
      <c r="F26" s="146">
        <v>0.002</v>
      </c>
      <c r="G26" s="183">
        <f t="shared" si="0"/>
        <v>47137</v>
      </c>
      <c r="H26" s="141"/>
      <c r="I26" s="135"/>
      <c r="J26" s="144">
        <f t="shared" si="1"/>
        <v>0.002000003309507566</v>
      </c>
      <c r="K26" s="141"/>
    </row>
    <row r="27" spans="1:11" ht="12.75">
      <c r="A27" s="140" t="s">
        <v>3</v>
      </c>
      <c r="E27" s="141">
        <f>'FY 09 State Allotments'!D9</f>
        <v>29047021</v>
      </c>
      <c r="F27" s="146"/>
      <c r="G27" s="136"/>
      <c r="H27" s="141">
        <f>SUM(G28:G36)</f>
        <v>2202950</v>
      </c>
      <c r="I27" s="141">
        <f>E27-H27</f>
        <v>26844071</v>
      </c>
      <c r="K27" s="141"/>
    </row>
    <row r="28" spans="1:11" ht="12.75">
      <c r="A28" s="135" t="s">
        <v>159</v>
      </c>
      <c r="B28" s="145">
        <v>343522</v>
      </c>
      <c r="C28" s="147">
        <v>228</v>
      </c>
      <c r="D28" s="142" t="s">
        <v>145</v>
      </c>
      <c r="F28" s="146">
        <f aca="true" t="shared" si="2" ref="F28:F36">C28/B28</f>
        <v>0.0006637129499711809</v>
      </c>
      <c r="G28" s="183">
        <f aca="true" t="shared" si="3" ref="G28:G36">ROUND($E$27*F28,0)</f>
        <v>19279</v>
      </c>
      <c r="H28" s="141"/>
      <c r="J28" s="144">
        <f aca="true" t="shared" si="4" ref="J28:J36">G28/$E$27</f>
        <v>0.0006637169436411397</v>
      </c>
      <c r="K28" s="141"/>
    </row>
    <row r="29" spans="1:11" ht="12.75">
      <c r="A29" s="135" t="s">
        <v>160</v>
      </c>
      <c r="B29" s="145">
        <v>343522</v>
      </c>
      <c r="C29" s="147">
        <v>680</v>
      </c>
      <c r="D29" s="142" t="s">
        <v>145</v>
      </c>
      <c r="E29" s="141"/>
      <c r="F29" s="146">
        <f t="shared" si="2"/>
        <v>0.001979494763071943</v>
      </c>
      <c r="G29" s="183">
        <f t="shared" si="3"/>
        <v>57498</v>
      </c>
      <c r="H29" s="141"/>
      <c r="J29" s="144">
        <f t="shared" si="4"/>
        <v>0.0019794800988369855</v>
      </c>
      <c r="K29" s="141"/>
    </row>
    <row r="30" spans="1:11" ht="12.75">
      <c r="A30" s="135" t="s">
        <v>161</v>
      </c>
      <c r="B30" s="145">
        <v>343522</v>
      </c>
      <c r="C30" s="147">
        <v>2301</v>
      </c>
      <c r="D30" s="142" t="s">
        <v>145</v>
      </c>
      <c r="E30" s="141"/>
      <c r="F30" s="146">
        <f t="shared" si="2"/>
        <v>0.006698260955630207</v>
      </c>
      <c r="G30" s="183">
        <f t="shared" si="3"/>
        <v>194565</v>
      </c>
      <c r="H30" s="141"/>
      <c r="J30" s="144">
        <f t="shared" si="4"/>
        <v>0.006698277251908208</v>
      </c>
      <c r="K30" s="141"/>
    </row>
    <row r="31" spans="1:11" ht="12.75">
      <c r="A31" s="135" t="s">
        <v>162</v>
      </c>
      <c r="B31" s="145">
        <v>343522</v>
      </c>
      <c r="C31" s="147">
        <v>142</v>
      </c>
      <c r="D31" s="142" t="s">
        <v>145</v>
      </c>
      <c r="E31" s="141"/>
      <c r="F31" s="146">
        <f t="shared" si="2"/>
        <v>0.00041336508287678807</v>
      </c>
      <c r="G31" s="183">
        <f t="shared" si="3"/>
        <v>12007</v>
      </c>
      <c r="H31" s="141"/>
      <c r="J31" s="144">
        <f t="shared" si="4"/>
        <v>0.00041336424826490814</v>
      </c>
      <c r="K31" s="141"/>
    </row>
    <row r="32" spans="1:11" ht="12.75">
      <c r="A32" s="135" t="s">
        <v>163</v>
      </c>
      <c r="B32" s="145">
        <v>343522</v>
      </c>
      <c r="C32" s="147">
        <v>19524</v>
      </c>
      <c r="D32" s="142" t="s">
        <v>145</v>
      </c>
      <c r="E32" s="141"/>
      <c r="F32" s="146">
        <f t="shared" si="2"/>
        <v>0.056834787873847964</v>
      </c>
      <c r="G32" s="183">
        <f t="shared" si="3"/>
        <v>1650881</v>
      </c>
      <c r="H32" s="141"/>
      <c r="J32" s="144">
        <f t="shared" si="4"/>
        <v>0.05683477834095276</v>
      </c>
      <c r="K32" s="141"/>
    </row>
    <row r="33" spans="1:11" ht="12.75">
      <c r="A33" s="135" t="s">
        <v>164</v>
      </c>
      <c r="B33" s="145">
        <v>343522</v>
      </c>
      <c r="C33" s="147">
        <v>879</v>
      </c>
      <c r="D33" s="142" t="s">
        <v>145</v>
      </c>
      <c r="E33" s="141"/>
      <c r="F33" s="146">
        <f t="shared" si="2"/>
        <v>0.0025587880834415265</v>
      </c>
      <c r="G33" s="183">
        <f t="shared" si="3"/>
        <v>74325</v>
      </c>
      <c r="H33" s="141"/>
      <c r="J33" s="144">
        <f t="shared" si="4"/>
        <v>0.002558782189746756</v>
      </c>
      <c r="K33" s="141"/>
    </row>
    <row r="34" spans="1:11" ht="12.75">
      <c r="A34" s="135" t="s">
        <v>165</v>
      </c>
      <c r="B34" s="145">
        <v>343522</v>
      </c>
      <c r="C34" s="147">
        <v>50</v>
      </c>
      <c r="D34" s="142" t="s">
        <v>145</v>
      </c>
      <c r="E34" s="141"/>
      <c r="F34" s="146">
        <f t="shared" si="2"/>
        <v>0.00014555108551999582</v>
      </c>
      <c r="G34" s="183">
        <f t="shared" si="3"/>
        <v>4228</v>
      </c>
      <c r="H34" s="141"/>
      <c r="J34" s="144">
        <f t="shared" si="4"/>
        <v>0.00014555709516648885</v>
      </c>
      <c r="K34" s="141"/>
    </row>
    <row r="35" spans="1:11" ht="12.75">
      <c r="A35" s="135" t="s">
        <v>166</v>
      </c>
      <c r="B35" s="145">
        <v>343522</v>
      </c>
      <c r="C35" s="147">
        <v>849</v>
      </c>
      <c r="D35" s="142" t="s">
        <v>145</v>
      </c>
      <c r="E35" s="141"/>
      <c r="F35" s="146">
        <f t="shared" si="2"/>
        <v>0.002471457432129529</v>
      </c>
      <c r="G35" s="183">
        <f t="shared" si="3"/>
        <v>71788</v>
      </c>
      <c r="H35" s="141"/>
      <c r="J35" s="144">
        <f t="shared" si="4"/>
        <v>0.002471441047259201</v>
      </c>
      <c r="K35" s="141"/>
    </row>
    <row r="36" spans="1:11" ht="12.75">
      <c r="A36" s="135" t="s">
        <v>167</v>
      </c>
      <c r="B36" s="145">
        <v>343522</v>
      </c>
      <c r="C36" s="147">
        <v>1400</v>
      </c>
      <c r="D36" s="142" t="s">
        <v>145</v>
      </c>
      <c r="F36" s="146">
        <f t="shared" si="2"/>
        <v>0.004075430394559883</v>
      </c>
      <c r="G36" s="183">
        <f t="shared" si="3"/>
        <v>118379</v>
      </c>
      <c r="H36" s="141"/>
      <c r="J36" s="144">
        <f t="shared" si="4"/>
        <v>0.004075426529970148</v>
      </c>
      <c r="K36" s="141"/>
    </row>
    <row r="37" spans="1:11" ht="12.75">
      <c r="A37" s="140" t="s">
        <v>5</v>
      </c>
      <c r="E37" s="141">
        <f>'FY 09 State Allotments'!D11</f>
        <v>225894133</v>
      </c>
      <c r="F37" s="146"/>
      <c r="G37" s="136"/>
      <c r="H37" s="141">
        <f>SUM(G38:G60)</f>
        <v>1905582</v>
      </c>
      <c r="I37" s="141">
        <f>E37-H37</f>
        <v>223988551</v>
      </c>
      <c r="K37" s="141"/>
    </row>
    <row r="38" spans="1:11" ht="12.75">
      <c r="A38" s="135" t="s">
        <v>168</v>
      </c>
      <c r="B38" s="145">
        <v>1659723</v>
      </c>
      <c r="C38" s="131">
        <v>130</v>
      </c>
      <c r="D38" s="142" t="s">
        <v>145</v>
      </c>
      <c r="E38" s="141"/>
      <c r="F38" s="146">
        <f aca="true" t="shared" si="5" ref="F38:F47">C38/B38</f>
        <v>7.832632312741343E-05</v>
      </c>
      <c r="G38" s="183">
        <f aca="true" t="shared" si="6" ref="G38:G60">ROUND($E$37*F38,0)</f>
        <v>17693</v>
      </c>
      <c r="H38" s="141"/>
      <c r="I38" s="141"/>
      <c r="J38" s="144">
        <f aca="true" t="shared" si="7" ref="J38:J60">G38/$E$37</f>
        <v>7.832430070240027E-05</v>
      </c>
      <c r="K38" s="141"/>
    </row>
    <row r="39" spans="1:11" ht="12.75">
      <c r="A39" s="148" t="s">
        <v>169</v>
      </c>
      <c r="B39" s="145">
        <v>1659723</v>
      </c>
      <c r="C39" s="131">
        <v>412</v>
      </c>
      <c r="D39" s="142" t="s">
        <v>145</v>
      </c>
      <c r="E39" s="141"/>
      <c r="F39" s="146">
        <f t="shared" si="5"/>
        <v>0.00024823419329611025</v>
      </c>
      <c r="G39" s="183">
        <f t="shared" si="6"/>
        <v>56075</v>
      </c>
      <c r="H39" s="141"/>
      <c r="I39" s="141"/>
      <c r="J39" s="144">
        <f t="shared" si="7"/>
        <v>0.00024823575209897107</v>
      </c>
      <c r="K39" s="141"/>
    </row>
    <row r="40" spans="1:11" ht="12.75">
      <c r="A40" s="135" t="s">
        <v>170</v>
      </c>
      <c r="B40" s="145">
        <v>1659723</v>
      </c>
      <c r="C40" s="147">
        <v>24</v>
      </c>
      <c r="D40" s="142" t="s">
        <v>145</v>
      </c>
      <c r="E40" s="141"/>
      <c r="F40" s="146">
        <f t="shared" si="5"/>
        <v>1.4460244269676325E-05</v>
      </c>
      <c r="G40" s="183">
        <f t="shared" si="6"/>
        <v>3266</v>
      </c>
      <c r="H40" s="141"/>
      <c r="J40" s="144">
        <f t="shared" si="7"/>
        <v>1.445810015791778E-05</v>
      </c>
      <c r="K40" s="141"/>
    </row>
    <row r="41" spans="1:11" ht="12.75">
      <c r="A41" s="135" t="s">
        <v>171</v>
      </c>
      <c r="B41" s="145">
        <v>1659723</v>
      </c>
      <c r="C41" s="147">
        <v>108</v>
      </c>
      <c r="D41" s="142" t="s">
        <v>145</v>
      </c>
      <c r="E41" s="141"/>
      <c r="F41" s="146">
        <f t="shared" si="5"/>
        <v>6.507109921354347E-05</v>
      </c>
      <c r="G41" s="183">
        <f t="shared" si="6"/>
        <v>14699</v>
      </c>
      <c r="H41" s="141"/>
      <c r="I41" s="141"/>
      <c r="J41" s="144">
        <f t="shared" si="7"/>
        <v>6.507030441556444E-05</v>
      </c>
      <c r="K41" s="141"/>
    </row>
    <row r="42" spans="1:11" ht="12.75">
      <c r="A42" s="135" t="s">
        <v>172</v>
      </c>
      <c r="B42" s="145">
        <v>1659723</v>
      </c>
      <c r="C42" s="147">
        <v>50</v>
      </c>
      <c r="D42" s="142" t="s">
        <v>145</v>
      </c>
      <c r="E42" s="141"/>
      <c r="F42" s="146">
        <f t="shared" si="5"/>
        <v>3.012550889515901E-05</v>
      </c>
      <c r="G42" s="183">
        <f t="shared" si="6"/>
        <v>6805</v>
      </c>
      <c r="H42" s="141"/>
      <c r="I42" s="141"/>
      <c r="J42" s="144">
        <f t="shared" si="7"/>
        <v>3.012473103938472E-05</v>
      </c>
      <c r="K42" s="141"/>
    </row>
    <row r="43" spans="1:11" ht="12.75">
      <c r="A43" s="135" t="s">
        <v>173</v>
      </c>
      <c r="B43" s="145">
        <v>1659723</v>
      </c>
      <c r="C43" s="147">
        <v>896</v>
      </c>
      <c r="D43" s="142" t="s">
        <v>145</v>
      </c>
      <c r="E43" s="141"/>
      <c r="F43" s="146">
        <f t="shared" si="5"/>
        <v>0.0005398491194012495</v>
      </c>
      <c r="G43" s="183">
        <f t="shared" si="6"/>
        <v>121949</v>
      </c>
      <c r="H43" s="141"/>
      <c r="J43" s="144">
        <f t="shared" si="7"/>
        <v>0.0005398502315241627</v>
      </c>
      <c r="K43" s="141"/>
    </row>
    <row r="44" spans="1:11" ht="12.75">
      <c r="A44" s="135" t="s">
        <v>174</v>
      </c>
      <c r="B44" s="145">
        <v>1659723</v>
      </c>
      <c r="C44" s="147">
        <v>136</v>
      </c>
      <c r="D44" s="142" t="s">
        <v>145</v>
      </c>
      <c r="F44" s="146">
        <f t="shared" si="5"/>
        <v>8.194138419483252E-05</v>
      </c>
      <c r="G44" s="183">
        <f t="shared" si="6"/>
        <v>18510</v>
      </c>
      <c r="H44" s="141"/>
      <c r="J44" s="144">
        <f t="shared" si="7"/>
        <v>8.194103916811333E-05</v>
      </c>
      <c r="K44" s="141"/>
    </row>
    <row r="45" spans="1:11" ht="12.75">
      <c r="A45" s="135" t="s">
        <v>175</v>
      </c>
      <c r="B45" s="145">
        <v>1659723</v>
      </c>
      <c r="C45" s="147">
        <v>650</v>
      </c>
      <c r="D45" s="142" t="s">
        <v>145</v>
      </c>
      <c r="E45" s="141"/>
      <c r="F45" s="146">
        <f t="shared" si="5"/>
        <v>0.00039163161563706713</v>
      </c>
      <c r="G45" s="183">
        <f t="shared" si="6"/>
        <v>88467</v>
      </c>
      <c r="H45" s="141"/>
      <c r="I45" s="141"/>
      <c r="J45" s="144">
        <f t="shared" si="7"/>
        <v>0.0003916303572169358</v>
      </c>
      <c r="K45" s="141"/>
    </row>
    <row r="46" spans="1:11" ht="12.75">
      <c r="A46" s="135" t="s">
        <v>176</v>
      </c>
      <c r="B46" s="145">
        <v>1659723</v>
      </c>
      <c r="C46" s="147">
        <v>371</v>
      </c>
      <c r="D46" s="142" t="s">
        <v>145</v>
      </c>
      <c r="E46" s="141"/>
      <c r="F46" s="146">
        <f t="shared" si="5"/>
        <v>0.00022353127600207987</v>
      </c>
      <c r="G46" s="183">
        <f t="shared" si="6"/>
        <v>50494</v>
      </c>
      <c r="H46" s="141"/>
      <c r="I46" s="141"/>
      <c r="J46" s="144">
        <f t="shared" si="7"/>
        <v>0.0002235294884794551</v>
      </c>
      <c r="K46" s="141"/>
    </row>
    <row r="47" spans="1:11" ht="12.75">
      <c r="A47" s="135" t="s">
        <v>177</v>
      </c>
      <c r="B47" s="145">
        <v>1659723</v>
      </c>
      <c r="C47" s="147">
        <v>5787</v>
      </c>
      <c r="D47" s="142" t="s">
        <v>145</v>
      </c>
      <c r="E47" s="141"/>
      <c r="F47" s="146">
        <f t="shared" si="5"/>
        <v>0.003486726399525704</v>
      </c>
      <c r="G47" s="183">
        <f t="shared" si="6"/>
        <v>787631</v>
      </c>
      <c r="H47" s="141"/>
      <c r="J47" s="144">
        <f t="shared" si="7"/>
        <v>0.003486726235603472</v>
      </c>
      <c r="K47" s="141"/>
    </row>
    <row r="48" spans="1:11" ht="12.75">
      <c r="A48" s="135" t="s">
        <v>178</v>
      </c>
      <c r="B48" s="145">
        <v>1659723</v>
      </c>
      <c r="C48" s="147">
        <v>82</v>
      </c>
      <c r="D48" s="142" t="s">
        <v>147</v>
      </c>
      <c r="E48" s="141"/>
      <c r="F48" s="146">
        <v>0.0001</v>
      </c>
      <c r="G48" s="183">
        <f t="shared" si="6"/>
        <v>22589</v>
      </c>
      <c r="H48" s="141"/>
      <c r="J48" s="144">
        <f t="shared" si="7"/>
        <v>9.99981703818753E-05</v>
      </c>
      <c r="K48" s="141"/>
    </row>
    <row r="49" spans="1:11" ht="12.75">
      <c r="A49" s="135" t="s">
        <v>179</v>
      </c>
      <c r="B49" s="145">
        <v>1659723</v>
      </c>
      <c r="C49" s="147">
        <v>779</v>
      </c>
      <c r="D49" s="142" t="s">
        <v>145</v>
      </c>
      <c r="E49" s="141"/>
      <c r="F49" s="146">
        <f aca="true" t="shared" si="8" ref="F49:F60">C49/B49</f>
        <v>0.0004693554285865774</v>
      </c>
      <c r="G49" s="183">
        <f t="shared" si="6"/>
        <v>106025</v>
      </c>
      <c r="H49" s="141"/>
      <c r="I49" s="141"/>
      <c r="J49" s="144">
        <f t="shared" si="7"/>
        <v>0.0004693570328362623</v>
      </c>
      <c r="K49" s="141"/>
    </row>
    <row r="50" spans="1:11" ht="12.75">
      <c r="A50" s="135" t="s">
        <v>180</v>
      </c>
      <c r="B50" s="145">
        <v>1659723</v>
      </c>
      <c r="C50" s="147">
        <v>78</v>
      </c>
      <c r="D50" s="142" t="s">
        <v>145</v>
      </c>
      <c r="E50" s="141"/>
      <c r="F50" s="146">
        <f t="shared" si="8"/>
        <v>4.699579387644806E-05</v>
      </c>
      <c r="G50" s="183">
        <f t="shared" si="6"/>
        <v>10616</v>
      </c>
      <c r="H50" s="141"/>
      <c r="I50" s="141"/>
      <c r="J50" s="144">
        <f t="shared" si="7"/>
        <v>4.69954657919336E-05</v>
      </c>
      <c r="K50" s="141"/>
    </row>
    <row r="51" spans="1:11" ht="12.75">
      <c r="A51" s="135" t="s">
        <v>181</v>
      </c>
      <c r="B51" s="145">
        <v>1659723</v>
      </c>
      <c r="C51" s="147">
        <v>375</v>
      </c>
      <c r="D51" s="142" t="s">
        <v>145</v>
      </c>
      <c r="E51" s="141"/>
      <c r="F51" s="146">
        <f t="shared" si="8"/>
        <v>0.00022594131671369258</v>
      </c>
      <c r="G51" s="183">
        <f t="shared" si="6"/>
        <v>51039</v>
      </c>
      <c r="H51" s="141"/>
      <c r="J51" s="144">
        <f t="shared" si="7"/>
        <v>0.00022594212307408621</v>
      </c>
      <c r="K51" s="141"/>
    </row>
    <row r="52" spans="1:11" ht="12.75">
      <c r="A52" s="135" t="s">
        <v>182</v>
      </c>
      <c r="B52" s="145">
        <v>1659723</v>
      </c>
      <c r="C52" s="147">
        <v>962</v>
      </c>
      <c r="D52" s="142" t="s">
        <v>145</v>
      </c>
      <c r="E52" s="141"/>
      <c r="F52" s="146">
        <f t="shared" si="8"/>
        <v>0.0005796147911428593</v>
      </c>
      <c r="G52" s="183">
        <f t="shared" si="6"/>
        <v>130932</v>
      </c>
      <c r="H52" s="141"/>
      <c r="J52" s="144">
        <f t="shared" si="7"/>
        <v>0.0005796166472371374</v>
      </c>
      <c r="K52" s="141"/>
    </row>
    <row r="53" spans="1:11" ht="12.75">
      <c r="A53" s="135" t="s">
        <v>183</v>
      </c>
      <c r="B53" s="145">
        <v>1659723</v>
      </c>
      <c r="C53" s="147">
        <v>44</v>
      </c>
      <c r="D53" s="142" t="s">
        <v>145</v>
      </c>
      <c r="E53" s="141"/>
      <c r="F53" s="146">
        <f t="shared" si="8"/>
        <v>2.651044782773993E-05</v>
      </c>
      <c r="G53" s="183">
        <f t="shared" si="6"/>
        <v>5989</v>
      </c>
      <c r="H53" s="141"/>
      <c r="J53" s="144">
        <f t="shared" si="7"/>
        <v>2.651241942613888E-05</v>
      </c>
      <c r="K53" s="141"/>
    </row>
    <row r="54" spans="1:11" ht="12.75">
      <c r="A54" s="135" t="s">
        <v>184</v>
      </c>
      <c r="B54" s="145">
        <v>1659723</v>
      </c>
      <c r="C54" s="147">
        <v>894</v>
      </c>
      <c r="D54" s="142" t="s">
        <v>145</v>
      </c>
      <c r="E54" s="141"/>
      <c r="F54" s="146">
        <f t="shared" si="8"/>
        <v>0.0005386440990454431</v>
      </c>
      <c r="G54" s="183">
        <f t="shared" si="6"/>
        <v>121677</v>
      </c>
      <c r="H54" s="141"/>
      <c r="I54" s="141"/>
      <c r="J54" s="144">
        <f t="shared" si="7"/>
        <v>0.0005386461276530808</v>
      </c>
      <c r="K54" s="141"/>
    </row>
    <row r="55" spans="1:11" ht="12.75">
      <c r="A55" s="135" t="s">
        <v>185</v>
      </c>
      <c r="B55" s="145">
        <v>1659723</v>
      </c>
      <c r="C55" s="147">
        <v>575</v>
      </c>
      <c r="D55" s="142" t="s">
        <v>145</v>
      </c>
      <c r="E55" s="141"/>
      <c r="F55" s="146">
        <f t="shared" si="8"/>
        <v>0.00034644335229432863</v>
      </c>
      <c r="G55" s="183">
        <f t="shared" si="6"/>
        <v>78260</v>
      </c>
      <c r="H55" s="141"/>
      <c r="I55" s="141"/>
      <c r="J55" s="144">
        <f t="shared" si="7"/>
        <v>0.0003464454740840923</v>
      </c>
      <c r="K55" s="141"/>
    </row>
    <row r="56" spans="1:11" ht="12.75">
      <c r="A56" s="135" t="s">
        <v>186</v>
      </c>
      <c r="B56" s="145">
        <v>1659723</v>
      </c>
      <c r="C56" s="147">
        <v>146</v>
      </c>
      <c r="D56" s="142" t="s">
        <v>145</v>
      </c>
      <c r="E56" s="141"/>
      <c r="F56" s="146">
        <f t="shared" si="8"/>
        <v>8.796648597386432E-05</v>
      </c>
      <c r="G56" s="183">
        <f t="shared" si="6"/>
        <v>19871</v>
      </c>
      <c r="H56" s="141"/>
      <c r="I56" s="141"/>
      <c r="J56" s="144">
        <f t="shared" si="7"/>
        <v>8.796598537599026E-05</v>
      </c>
      <c r="K56" s="141"/>
    </row>
    <row r="57" spans="1:11" ht="12.75">
      <c r="A57" s="135" t="s">
        <v>187</v>
      </c>
      <c r="B57" s="145">
        <v>1659723</v>
      </c>
      <c r="C57" s="147">
        <v>66</v>
      </c>
      <c r="D57" s="142" t="s">
        <v>145</v>
      </c>
      <c r="E57" s="141"/>
      <c r="F57" s="146">
        <f t="shared" si="8"/>
        <v>3.97656717416099E-05</v>
      </c>
      <c r="G57" s="183">
        <f t="shared" si="6"/>
        <v>8983</v>
      </c>
      <c r="H57" s="141"/>
      <c r="J57" s="144">
        <f t="shared" si="7"/>
        <v>3.976641571297472E-05</v>
      </c>
      <c r="K57" s="141"/>
    </row>
    <row r="58" spans="1:11" ht="12.75">
      <c r="A58" s="135" t="s">
        <v>188</v>
      </c>
      <c r="B58" s="145">
        <v>1659723</v>
      </c>
      <c r="C58" s="147">
        <v>101</v>
      </c>
      <c r="D58" s="142" t="s">
        <v>145</v>
      </c>
      <c r="E58" s="141"/>
      <c r="F58" s="146">
        <f t="shared" si="8"/>
        <v>6.08535279682212E-05</v>
      </c>
      <c r="G58" s="183">
        <f t="shared" si="6"/>
        <v>13746</v>
      </c>
      <c r="H58" s="141"/>
      <c r="J58" s="144">
        <f t="shared" si="7"/>
        <v>6.085151401431041E-05</v>
      </c>
      <c r="K58" s="141"/>
    </row>
    <row r="59" spans="1:11" ht="12.75">
      <c r="A59" s="135" t="s">
        <v>189</v>
      </c>
      <c r="B59" s="145">
        <v>1659723</v>
      </c>
      <c r="C59" s="147">
        <v>85</v>
      </c>
      <c r="D59" s="142" t="s">
        <v>145</v>
      </c>
      <c r="E59" s="141"/>
      <c r="F59" s="146">
        <f t="shared" si="8"/>
        <v>5.121336512177032E-05</v>
      </c>
      <c r="G59" s="183">
        <f t="shared" si="6"/>
        <v>11569</v>
      </c>
      <c r="H59" s="141"/>
      <c r="J59" s="144">
        <f t="shared" si="7"/>
        <v>5.121425619318763E-05</v>
      </c>
      <c r="K59" s="141"/>
    </row>
    <row r="60" spans="1:11" ht="12.75">
      <c r="A60" s="135" t="s">
        <v>190</v>
      </c>
      <c r="B60" s="145">
        <v>1659723</v>
      </c>
      <c r="C60" s="147">
        <v>1166</v>
      </c>
      <c r="D60" s="142" t="s">
        <v>145</v>
      </c>
      <c r="E60" s="141"/>
      <c r="F60" s="146">
        <f t="shared" si="8"/>
        <v>0.0007025268674351082</v>
      </c>
      <c r="G60" s="183">
        <f t="shared" si="6"/>
        <v>158697</v>
      </c>
      <c r="H60" s="141"/>
      <c r="J60" s="144">
        <f t="shared" si="7"/>
        <v>0.0007025282059893074</v>
      </c>
      <c r="K60" s="141"/>
    </row>
    <row r="61" spans="1:11" ht="12.75">
      <c r="A61" s="140" t="s">
        <v>10</v>
      </c>
      <c r="E61" s="141">
        <f>'FY 09 State Allotments'!D16</f>
        <v>95037075</v>
      </c>
      <c r="G61" s="136"/>
      <c r="H61" s="141">
        <f>G62</f>
        <v>24362</v>
      </c>
      <c r="I61" s="141">
        <f>E61-H61</f>
        <v>95012713</v>
      </c>
      <c r="K61" s="141"/>
    </row>
    <row r="62" spans="1:11" ht="12.75">
      <c r="A62" s="135" t="s">
        <v>191</v>
      </c>
      <c r="B62" s="145">
        <v>1205419</v>
      </c>
      <c r="C62" s="145">
        <v>309</v>
      </c>
      <c r="D62" s="142" t="s">
        <v>145</v>
      </c>
      <c r="E62" s="141"/>
      <c r="F62" s="146">
        <f>C62/B62</f>
        <v>0.00025634240044333133</v>
      </c>
      <c r="G62" s="183">
        <f>ROUND($E$61*F62,0)</f>
        <v>24362</v>
      </c>
      <c r="H62" s="141"/>
      <c r="I62" s="141"/>
      <c r="J62" s="144">
        <f>G62/E61</f>
        <v>0.00025634206439960404</v>
      </c>
      <c r="K62" s="141"/>
    </row>
    <row r="63" spans="1:11" ht="12.75">
      <c r="A63" s="140" t="s">
        <v>13</v>
      </c>
      <c r="D63" s="135" t="s">
        <v>69</v>
      </c>
      <c r="E63" s="141">
        <f>'FY 09 State Allotments'!D19</f>
        <v>26939480</v>
      </c>
      <c r="F63" s="146"/>
      <c r="G63" s="136"/>
      <c r="H63" s="141">
        <f>SUM(G64:G66)</f>
        <v>1307238</v>
      </c>
      <c r="I63" s="141">
        <f>E63-H63</f>
        <v>25632242</v>
      </c>
      <c r="K63" s="141"/>
    </row>
    <row r="64" spans="1:11" ht="12.75">
      <c r="A64" s="135" t="s">
        <v>192</v>
      </c>
      <c r="B64" s="145">
        <v>84047</v>
      </c>
      <c r="C64" s="131">
        <v>113</v>
      </c>
      <c r="D64" s="149" t="s">
        <v>147</v>
      </c>
      <c r="E64" s="141"/>
      <c r="F64" s="146">
        <v>0.003025</v>
      </c>
      <c r="G64" s="183">
        <f>ROUND($E$63*F64,0)</f>
        <v>81492</v>
      </c>
      <c r="H64" s="141"/>
      <c r="I64" s="141"/>
      <c r="J64" s="144">
        <f>G64/$E$63</f>
        <v>0.00302500270977762</v>
      </c>
      <c r="K64" s="141"/>
    </row>
    <row r="65" spans="1:11" ht="12.75">
      <c r="A65" s="135" t="s">
        <v>193</v>
      </c>
      <c r="B65" s="145">
        <v>84047</v>
      </c>
      <c r="C65" s="145">
        <v>593</v>
      </c>
      <c r="D65" s="142" t="s">
        <v>147</v>
      </c>
      <c r="E65" s="141"/>
      <c r="F65" s="150">
        <v>0.007</v>
      </c>
      <c r="G65" s="183">
        <f>ROUND($E$63*F65,0)</f>
        <v>188576</v>
      </c>
      <c r="H65" s="141"/>
      <c r="I65" s="141"/>
      <c r="J65" s="144">
        <f>G65/$E$63</f>
        <v>0.006999986636713106</v>
      </c>
      <c r="K65" s="141"/>
    </row>
    <row r="66" spans="1:11" ht="12.75">
      <c r="A66" s="135" t="s">
        <v>194</v>
      </c>
      <c r="B66" s="145">
        <v>84047</v>
      </c>
      <c r="C66" s="145">
        <v>796</v>
      </c>
      <c r="D66" s="142" t="s">
        <v>147</v>
      </c>
      <c r="E66" s="141"/>
      <c r="F66" s="150">
        <v>0.0385</v>
      </c>
      <c r="G66" s="183">
        <f>ROUND($E$63*F66,0)</f>
        <v>1037170</v>
      </c>
      <c r="H66" s="141"/>
      <c r="I66" s="141"/>
      <c r="J66" s="144">
        <f>G66/$E$63</f>
        <v>0.038500000742404825</v>
      </c>
      <c r="K66" s="141"/>
    </row>
    <row r="67" spans="1:11" ht="12.75">
      <c r="A67" s="140" t="s">
        <v>15</v>
      </c>
      <c r="E67" s="141">
        <f>'FY 09 State Allotments'!D21</f>
        <v>103608598</v>
      </c>
      <c r="G67" s="136"/>
      <c r="H67" s="141">
        <f>G68</f>
        <v>6664</v>
      </c>
      <c r="I67" s="141">
        <f>E67-H67</f>
        <v>103601934</v>
      </c>
      <c r="K67" s="141"/>
    </row>
    <row r="68" spans="1:11" ht="12.75">
      <c r="A68" s="135" t="s">
        <v>195</v>
      </c>
      <c r="B68" s="145">
        <v>434091</v>
      </c>
      <c r="C68" s="145">
        <v>0</v>
      </c>
      <c r="D68" s="142" t="s">
        <v>196</v>
      </c>
      <c r="F68" s="146">
        <f>$C68/$B68</f>
        <v>0</v>
      </c>
      <c r="G68" s="183">
        <v>6664</v>
      </c>
      <c r="H68" s="141"/>
      <c r="I68" s="141"/>
      <c r="J68" s="144">
        <f>G68/E67</f>
        <v>6.431898634512938E-05</v>
      </c>
      <c r="K68" s="141"/>
    </row>
    <row r="69" spans="1:11" ht="12.75">
      <c r="A69" s="140" t="s">
        <v>17</v>
      </c>
      <c r="D69" s="135" t="s">
        <v>69</v>
      </c>
      <c r="E69" s="141">
        <f>'FY 09 State Allotments'!D23</f>
        <v>45349295</v>
      </c>
      <c r="F69" s="141"/>
      <c r="G69" s="136"/>
      <c r="H69" s="141">
        <f>G70</f>
        <v>41400</v>
      </c>
      <c r="I69" s="141">
        <f>E69-H69</f>
        <v>45307895</v>
      </c>
      <c r="K69" s="141"/>
    </row>
    <row r="70" spans="1:11" ht="12.75">
      <c r="A70" s="135" t="s">
        <v>197</v>
      </c>
      <c r="B70" s="145">
        <v>222152</v>
      </c>
      <c r="C70" s="145">
        <v>120</v>
      </c>
      <c r="D70" s="142" t="s">
        <v>196</v>
      </c>
      <c r="E70" s="141"/>
      <c r="F70" s="151">
        <f>C70/B70</f>
        <v>0.0005401706939392848</v>
      </c>
      <c r="G70" s="183">
        <v>41400</v>
      </c>
      <c r="H70" s="141"/>
      <c r="I70" s="141"/>
      <c r="J70" s="144">
        <f>G70/E69</f>
        <v>0.0009129138611746886</v>
      </c>
      <c r="K70" s="141"/>
    </row>
    <row r="71" spans="1:11" ht="12.75">
      <c r="A71" s="140" t="s">
        <v>20</v>
      </c>
      <c r="E71" s="141">
        <f>'FY 09 State Allotments'!D26</f>
        <v>49456684</v>
      </c>
      <c r="G71" s="136"/>
      <c r="H71" s="141">
        <f>SUM(G72:G76)</f>
        <v>1807642</v>
      </c>
      <c r="I71" s="141">
        <f>E71-H71</f>
        <v>47649042</v>
      </c>
      <c r="K71" s="141"/>
    </row>
    <row r="72" spans="1:11" ht="12.75">
      <c r="A72" s="135" t="s">
        <v>198</v>
      </c>
      <c r="B72" s="145">
        <v>100697</v>
      </c>
      <c r="D72" s="142" t="s">
        <v>147</v>
      </c>
      <c r="F72" s="146">
        <v>0.00435</v>
      </c>
      <c r="G72" s="183">
        <f>ROUND($E$71*F72,0)</f>
        <v>215137</v>
      </c>
      <c r="H72" s="141"/>
      <c r="I72" s="141"/>
      <c r="J72" s="144">
        <f>G72/$E$71</f>
        <v>0.004350008585290514</v>
      </c>
      <c r="K72" s="141"/>
    </row>
    <row r="73" spans="1:11" ht="12.75">
      <c r="A73" s="135" t="s">
        <v>199</v>
      </c>
      <c r="B73" s="145">
        <v>100697</v>
      </c>
      <c r="D73" s="142" t="s">
        <v>147</v>
      </c>
      <c r="E73" s="141"/>
      <c r="F73" s="146">
        <v>0.00435</v>
      </c>
      <c r="G73" s="183">
        <f>ROUND($E$71*F73,0)</f>
        <v>215137</v>
      </c>
      <c r="H73" s="141"/>
      <c r="I73" s="141"/>
      <c r="J73" s="144">
        <f>G73/$E$71</f>
        <v>0.004350008585290514</v>
      </c>
      <c r="K73" s="141"/>
    </row>
    <row r="74" spans="1:11" ht="12.75">
      <c r="A74" s="135" t="s">
        <v>200</v>
      </c>
      <c r="B74" s="145">
        <v>100697</v>
      </c>
      <c r="C74" s="145">
        <v>83</v>
      </c>
      <c r="D74" s="142" t="s">
        <v>147</v>
      </c>
      <c r="E74" s="141"/>
      <c r="F74" s="146">
        <v>0.0083</v>
      </c>
      <c r="G74" s="183">
        <f>ROUND($E$71*F74,0)</f>
        <v>410490</v>
      </c>
      <c r="H74" s="141"/>
      <c r="I74" s="141"/>
      <c r="J74" s="144">
        <f>G74/$E$71</f>
        <v>0.008299990351152536</v>
      </c>
      <c r="K74" s="141"/>
    </row>
    <row r="75" spans="1:11" ht="12.75">
      <c r="A75" s="135" t="s">
        <v>201</v>
      </c>
      <c r="B75" s="145">
        <v>100697</v>
      </c>
      <c r="C75" s="145">
        <v>69</v>
      </c>
      <c r="D75" s="142" t="s">
        <v>147</v>
      </c>
      <c r="E75" s="141"/>
      <c r="F75" s="146">
        <v>0.01158</v>
      </c>
      <c r="G75" s="183">
        <f>ROUND($E$71*F75,0)</f>
        <v>572708</v>
      </c>
      <c r="H75" s="141"/>
      <c r="I75" s="141"/>
      <c r="J75" s="144">
        <f>G75/$E$71</f>
        <v>0.011579991897556253</v>
      </c>
      <c r="K75" s="141"/>
    </row>
    <row r="76" spans="1:11" ht="12.75">
      <c r="A76" s="135" t="s">
        <v>202</v>
      </c>
      <c r="B76" s="145">
        <v>100697</v>
      </c>
      <c r="C76" s="145">
        <v>95</v>
      </c>
      <c r="D76" s="142" t="s">
        <v>147</v>
      </c>
      <c r="E76" s="141"/>
      <c r="F76" s="146">
        <v>0.00797</v>
      </c>
      <c r="G76" s="183">
        <f>ROUND($E$71*F76,0)</f>
        <v>394170</v>
      </c>
      <c r="H76" s="141"/>
      <c r="I76" s="141"/>
      <c r="J76" s="144">
        <f>G76/$E$71</f>
        <v>0.007970004620609017</v>
      </c>
      <c r="K76" s="141"/>
    </row>
    <row r="77" spans="1:11" ht="12.75">
      <c r="A77" s="140" t="s">
        <v>22</v>
      </c>
      <c r="E77" s="141">
        <f>'FY 09 State Allotments'!D28</f>
        <v>162980837</v>
      </c>
      <c r="G77" s="136"/>
      <c r="H77" s="141">
        <f>G78</f>
        <v>65192</v>
      </c>
      <c r="I77" s="141">
        <f>E77-H77</f>
        <v>162915645</v>
      </c>
      <c r="K77" s="141"/>
    </row>
    <row r="78" spans="1:11" ht="12.75">
      <c r="A78" s="135" t="s">
        <v>203</v>
      </c>
      <c r="B78" s="145">
        <v>531692</v>
      </c>
      <c r="C78" s="145">
        <v>127</v>
      </c>
      <c r="D78" s="142" t="s">
        <v>147</v>
      </c>
      <c r="E78" s="141"/>
      <c r="F78" s="146">
        <v>0.0004</v>
      </c>
      <c r="G78" s="183">
        <f>ROUND($E$77*F78,0)</f>
        <v>65192</v>
      </c>
      <c r="H78" s="141"/>
      <c r="I78" s="141"/>
      <c r="J78" s="144">
        <f>G78/E77</f>
        <v>0.00039999794577076566</v>
      </c>
      <c r="K78" s="141"/>
    </row>
    <row r="79" spans="1:11" ht="12.75">
      <c r="A79" s="140" t="s">
        <v>23</v>
      </c>
      <c r="E79" s="141">
        <f>'FY 09 State Allotments'!D29</f>
        <v>222412468</v>
      </c>
      <c r="G79" s="136"/>
      <c r="H79" s="141">
        <f>SUM(G80:G85)</f>
        <v>1168225</v>
      </c>
      <c r="I79" s="141">
        <f>E79-H79</f>
        <v>221244243</v>
      </c>
      <c r="K79" s="141"/>
    </row>
    <row r="80" spans="1:11" ht="12.75">
      <c r="A80" s="135" t="s">
        <v>204</v>
      </c>
      <c r="B80" s="145">
        <v>856399</v>
      </c>
      <c r="C80" s="145">
        <v>335</v>
      </c>
      <c r="D80" s="142" t="s">
        <v>145</v>
      </c>
      <c r="E80" s="141"/>
      <c r="F80" s="146">
        <f>C80/B80</f>
        <v>0.0003911728061335896</v>
      </c>
      <c r="G80" s="183">
        <f>ROUND($E$79*F80,0)</f>
        <v>87002</v>
      </c>
      <c r="H80" s="141"/>
      <c r="I80" s="141"/>
      <c r="J80" s="144">
        <f aca="true" t="shared" si="9" ref="J80:J85">G80/$E$79</f>
        <v>0.00039117411349439275</v>
      </c>
      <c r="K80" s="141"/>
    </row>
    <row r="81" spans="1:11" ht="12.75">
      <c r="A81" s="135" t="s">
        <v>205</v>
      </c>
      <c r="B81" s="145">
        <v>856399</v>
      </c>
      <c r="C81" s="145">
        <v>637</v>
      </c>
      <c r="D81" s="142" t="s">
        <v>145</v>
      </c>
      <c r="E81" s="141"/>
      <c r="F81" s="146">
        <f>C81/B81</f>
        <v>0.0007438121716629749</v>
      </c>
      <c r="G81" s="183">
        <f>ROUND($E$79*F81,0)</f>
        <v>165433</v>
      </c>
      <c r="H81" s="141"/>
      <c r="J81" s="144">
        <f t="shared" si="9"/>
        <v>0.0007438117183250716</v>
      </c>
      <c r="K81" s="141"/>
    </row>
    <row r="82" spans="1:11" ht="12.75">
      <c r="A82" s="135" t="s">
        <v>206</v>
      </c>
      <c r="B82" s="145">
        <v>856399</v>
      </c>
      <c r="C82" s="145">
        <v>884</v>
      </c>
      <c r="D82" s="142" t="s">
        <v>145</v>
      </c>
      <c r="E82" s="141"/>
      <c r="F82" s="146">
        <f>C82/B82</f>
        <v>0.0010322291361853529</v>
      </c>
      <c r="G82" s="183">
        <f>ROUND($E$79*F82,0)</f>
        <v>229581</v>
      </c>
      <c r="H82" s="141"/>
      <c r="J82" s="144">
        <f t="shared" si="9"/>
        <v>0.0010322308010178639</v>
      </c>
      <c r="K82" s="141"/>
    </row>
    <row r="83" spans="1:11" ht="12.75">
      <c r="A83" s="135" t="s">
        <v>207</v>
      </c>
      <c r="B83" s="145">
        <v>856399</v>
      </c>
      <c r="C83" s="145">
        <v>162</v>
      </c>
      <c r="D83" s="142" t="s">
        <v>145</v>
      </c>
      <c r="E83" s="141"/>
      <c r="F83" s="146">
        <f>C83/B83</f>
        <v>0.00018916416296609406</v>
      </c>
      <c r="G83" s="183">
        <f>ROUND($E$79*F83,0)</f>
        <v>42072</v>
      </c>
      <c r="H83" s="141"/>
      <c r="J83" s="144">
        <f t="shared" si="9"/>
        <v>0.0001891620572278349</v>
      </c>
      <c r="K83" s="141"/>
    </row>
    <row r="84" spans="1:11" ht="12.75">
      <c r="A84" s="135" t="s">
        <v>208</v>
      </c>
      <c r="B84" s="145">
        <v>856399</v>
      </c>
      <c r="C84" s="145">
        <v>555</v>
      </c>
      <c r="D84" s="142" t="s">
        <v>145</v>
      </c>
      <c r="E84" s="141"/>
      <c r="F84" s="146">
        <f>C84/B84</f>
        <v>0.0006480624101616186</v>
      </c>
      <c r="G84" s="183">
        <f>ROUND($E$79*F84,0)</f>
        <v>144137</v>
      </c>
      <c r="H84" s="141"/>
      <c r="J84" s="144">
        <f t="shared" si="9"/>
        <v>0.0006480616904983942</v>
      </c>
      <c r="K84" s="141"/>
    </row>
    <row r="85" spans="1:11" ht="12.75">
      <c r="A85" s="135" t="s">
        <v>209</v>
      </c>
      <c r="B85" s="145">
        <v>856399</v>
      </c>
      <c r="C85" s="145">
        <v>1744</v>
      </c>
      <c r="D85" s="142" t="s">
        <v>196</v>
      </c>
      <c r="E85" s="141"/>
      <c r="F85" s="146">
        <f>$C85/$B85</f>
        <v>0.0020364339519312845</v>
      </c>
      <c r="G85" s="183">
        <v>500000</v>
      </c>
      <c r="H85" s="141"/>
      <c r="I85" s="141"/>
      <c r="J85" s="144">
        <f t="shared" si="9"/>
        <v>0.002248075409153771</v>
      </c>
      <c r="K85" s="141"/>
    </row>
    <row r="86" spans="1:11" ht="12.75">
      <c r="A86" s="140" t="s">
        <v>25</v>
      </c>
      <c r="E86" s="141">
        <f>'FY 09 State Allotments'!D31</f>
        <v>39011051</v>
      </c>
      <c r="G86" s="136"/>
      <c r="H86" s="141">
        <f>G87</f>
        <v>73933</v>
      </c>
      <c r="I86" s="141">
        <f>E86-H86</f>
        <v>38937118</v>
      </c>
      <c r="K86" s="141"/>
    </row>
    <row r="87" spans="1:11" ht="12.75">
      <c r="A87" s="135" t="s">
        <v>210</v>
      </c>
      <c r="B87" s="145">
        <v>319230</v>
      </c>
      <c r="C87" s="145">
        <v>605</v>
      </c>
      <c r="D87" s="142" t="s">
        <v>211</v>
      </c>
      <c r="E87" s="141"/>
      <c r="F87" s="146">
        <f>$C87/$B87</f>
        <v>0.0018951852896031075</v>
      </c>
      <c r="G87" s="183">
        <f>ROUND($E$86*F87,0)</f>
        <v>73933</v>
      </c>
      <c r="H87" s="141"/>
      <c r="I87" s="141"/>
      <c r="J87" s="144">
        <f>G87/E86</f>
        <v>0.0018951809321927778</v>
      </c>
      <c r="K87" s="141"/>
    </row>
    <row r="88" spans="1:11" ht="12.75">
      <c r="A88" s="140" t="s">
        <v>27</v>
      </c>
      <c r="E88" s="141">
        <f>'FY 09 State Allotments'!D33</f>
        <v>31598299</v>
      </c>
      <c r="F88" s="150"/>
      <c r="G88" s="136"/>
      <c r="H88" s="141">
        <f>SUM(G89:G94)</f>
        <v>5523573</v>
      </c>
      <c r="I88" s="141">
        <f>E88-H88</f>
        <v>26074726</v>
      </c>
      <c r="K88" s="141"/>
    </row>
    <row r="89" spans="1:11" ht="12.75">
      <c r="A89" s="135" t="s">
        <v>212</v>
      </c>
      <c r="C89" s="131">
        <v>928</v>
      </c>
      <c r="D89" s="142" t="s">
        <v>147</v>
      </c>
      <c r="E89" s="141"/>
      <c r="F89" s="150">
        <v>0.038999</v>
      </c>
      <c r="G89" s="183">
        <f aca="true" t="shared" si="10" ref="G89:G94">ROUND($E$88*F89,0)</f>
        <v>1232302</v>
      </c>
      <c r="H89" s="141"/>
      <c r="I89" s="150"/>
      <c r="J89" s="144">
        <f aca="true" t="shared" si="11" ref="J89:J94">G89/$E$88</f>
        <v>0.03899899801568432</v>
      </c>
      <c r="K89" s="141"/>
    </row>
    <row r="90" spans="1:11" ht="12.75">
      <c r="A90" s="135" t="s">
        <v>213</v>
      </c>
      <c r="C90" s="131">
        <v>1135</v>
      </c>
      <c r="D90" s="142" t="s">
        <v>147</v>
      </c>
      <c r="E90" s="141"/>
      <c r="F90" s="150">
        <v>0.044521</v>
      </c>
      <c r="G90" s="183">
        <f t="shared" si="10"/>
        <v>1406788</v>
      </c>
      <c r="H90" s="141"/>
      <c r="J90" s="144">
        <f t="shared" si="11"/>
        <v>0.04452100412113956</v>
      </c>
      <c r="K90" s="141"/>
    </row>
    <row r="91" spans="1:11" ht="12.75">
      <c r="A91" s="135" t="s">
        <v>214</v>
      </c>
      <c r="C91" s="131">
        <v>246</v>
      </c>
      <c r="D91" s="142" t="s">
        <v>147</v>
      </c>
      <c r="E91" s="141"/>
      <c r="F91" s="150">
        <v>0.01139</v>
      </c>
      <c r="G91" s="183">
        <f t="shared" si="10"/>
        <v>359905</v>
      </c>
      <c r="H91" s="141"/>
      <c r="J91" s="144">
        <f t="shared" si="11"/>
        <v>0.0113900118484226</v>
      </c>
      <c r="K91" s="141"/>
    </row>
    <row r="92" spans="1:11" ht="12.75">
      <c r="A92" s="135" t="s">
        <v>215</v>
      </c>
      <c r="C92" s="131">
        <v>871</v>
      </c>
      <c r="D92" s="142" t="s">
        <v>147</v>
      </c>
      <c r="E92" s="141"/>
      <c r="F92" s="150">
        <v>0.043658</v>
      </c>
      <c r="G92" s="183">
        <f t="shared" si="10"/>
        <v>1379519</v>
      </c>
      <c r="H92" s="141"/>
      <c r="J92" s="144">
        <f t="shared" si="11"/>
        <v>0.0436580146292052</v>
      </c>
      <c r="K92" s="141"/>
    </row>
    <row r="93" spans="1:11" ht="12.75">
      <c r="A93" s="135" t="s">
        <v>216</v>
      </c>
      <c r="C93" s="131">
        <v>381</v>
      </c>
      <c r="D93" s="142" t="s">
        <v>147</v>
      </c>
      <c r="E93" s="141"/>
      <c r="F93" s="150">
        <v>0.015703</v>
      </c>
      <c r="G93" s="183">
        <f t="shared" si="10"/>
        <v>496188</v>
      </c>
      <c r="H93" s="141"/>
      <c r="J93" s="144">
        <f t="shared" si="11"/>
        <v>0.015702997177158177</v>
      </c>
      <c r="K93" s="141"/>
    </row>
    <row r="94" spans="1:11" ht="12.75">
      <c r="A94" s="135" t="s">
        <v>217</v>
      </c>
      <c r="C94" s="131">
        <v>536</v>
      </c>
      <c r="D94" s="142" t="s">
        <v>147</v>
      </c>
      <c r="E94" s="141"/>
      <c r="F94" s="150">
        <v>0.020535</v>
      </c>
      <c r="G94" s="183">
        <f t="shared" si="10"/>
        <v>648871</v>
      </c>
      <c r="H94" s="141"/>
      <c r="J94" s="144">
        <f t="shared" si="11"/>
        <v>0.020534997785798533</v>
      </c>
      <c r="K94" s="141"/>
    </row>
    <row r="95" spans="1:11" ht="12.75">
      <c r="A95" s="140" t="s">
        <v>28</v>
      </c>
      <c r="D95" s="142"/>
      <c r="E95" s="141">
        <f>'FY 09 State Allotments'!D34</f>
        <v>39572670</v>
      </c>
      <c r="F95" s="150"/>
      <c r="G95" s="183"/>
      <c r="H95" s="152">
        <f>G96</f>
        <v>15000</v>
      </c>
      <c r="I95" s="141">
        <f>E95-H95</f>
        <v>39557670</v>
      </c>
      <c r="K95" s="141"/>
    </row>
    <row r="96" spans="1:11" ht="12.75">
      <c r="A96" s="135" t="s">
        <v>218</v>
      </c>
      <c r="B96" s="131">
        <v>136572</v>
      </c>
      <c r="C96" s="131">
        <v>50</v>
      </c>
      <c r="D96" s="142" t="s">
        <v>196</v>
      </c>
      <c r="E96" s="141"/>
      <c r="F96" s="146">
        <f>$C96/$B96</f>
        <v>0.00036610725478136073</v>
      </c>
      <c r="G96" s="183">
        <v>15000</v>
      </c>
      <c r="H96" s="141"/>
      <c r="J96" s="144">
        <f>G96/E95</f>
        <v>0.0003790494803610674</v>
      </c>
      <c r="K96" s="141"/>
    </row>
    <row r="97" spans="1:11" ht="12.75">
      <c r="A97" s="140" t="s">
        <v>32</v>
      </c>
      <c r="E97" s="141">
        <f>'FY 09 State Allotments'!D38</f>
        <v>24901274</v>
      </c>
      <c r="F97" s="150"/>
      <c r="G97" s="136"/>
      <c r="H97" s="141">
        <f>SUM(G98:G104)</f>
        <v>1982430</v>
      </c>
      <c r="I97" s="141">
        <f>E97-H97</f>
        <v>22918844</v>
      </c>
      <c r="K97" s="141"/>
    </row>
    <row r="98" spans="1:11" ht="12.75">
      <c r="A98" s="135" t="s">
        <v>219</v>
      </c>
      <c r="B98" s="145">
        <v>154990</v>
      </c>
      <c r="C98" s="145">
        <v>262</v>
      </c>
      <c r="D98" s="142" t="s">
        <v>211</v>
      </c>
      <c r="E98" s="141"/>
      <c r="F98" s="146">
        <f aca="true" t="shared" si="12" ref="F98:F104">$C98/$B98</f>
        <v>0.001690431640751016</v>
      </c>
      <c r="G98" s="183">
        <f aca="true" t="shared" si="13" ref="G98:G104">ROUND($E$97*F98,0)</f>
        <v>42094</v>
      </c>
      <c r="H98" s="141"/>
      <c r="I98" s="141"/>
      <c r="J98" s="144">
        <f aca="true" t="shared" si="14" ref="J98:J104">G98/$E$97</f>
        <v>0.001690435597793109</v>
      </c>
      <c r="K98" s="141"/>
    </row>
    <row r="99" spans="1:11" ht="12.75">
      <c r="A99" s="135" t="s">
        <v>220</v>
      </c>
      <c r="B99" s="145">
        <v>154990</v>
      </c>
      <c r="C99" s="145">
        <v>261</v>
      </c>
      <c r="D99" s="142" t="s">
        <v>211</v>
      </c>
      <c r="E99" s="141"/>
      <c r="F99" s="146">
        <f t="shared" si="12"/>
        <v>0.0016839796115878443</v>
      </c>
      <c r="G99" s="183">
        <f t="shared" si="13"/>
        <v>41933</v>
      </c>
      <c r="H99" s="141"/>
      <c r="I99" s="141"/>
      <c r="J99" s="144">
        <f t="shared" si="14"/>
        <v>0.0016839700651460645</v>
      </c>
      <c r="K99" s="141"/>
    </row>
    <row r="100" spans="1:11" ht="12.75">
      <c r="A100" s="135" t="s">
        <v>221</v>
      </c>
      <c r="B100" s="145">
        <v>154990</v>
      </c>
      <c r="C100" s="145">
        <v>9939</v>
      </c>
      <c r="D100" s="142" t="s">
        <v>211</v>
      </c>
      <c r="E100" s="141"/>
      <c r="F100" s="146">
        <f t="shared" si="12"/>
        <v>0.06412671785276469</v>
      </c>
      <c r="G100" s="183">
        <f t="shared" si="13"/>
        <v>1596837</v>
      </c>
      <c r="H100" s="141"/>
      <c r="I100" s="141"/>
      <c r="J100" s="144">
        <f t="shared" si="14"/>
        <v>0.06412671897831412</v>
      </c>
      <c r="K100" s="141"/>
    </row>
    <row r="101" spans="1:11" ht="12.75">
      <c r="A101" s="135" t="s">
        <v>222</v>
      </c>
      <c r="B101" s="145">
        <v>154990</v>
      </c>
      <c r="C101" s="145">
        <v>200</v>
      </c>
      <c r="D101" s="142" t="s">
        <v>211</v>
      </c>
      <c r="E101" s="141"/>
      <c r="F101" s="146">
        <f t="shared" si="12"/>
        <v>0.0012904058326343635</v>
      </c>
      <c r="G101" s="183">
        <f t="shared" si="13"/>
        <v>32133</v>
      </c>
      <c r="H101" s="141"/>
      <c r="I101" s="141"/>
      <c r="J101" s="144">
        <f t="shared" si="14"/>
        <v>0.0012904159040216176</v>
      </c>
      <c r="K101" s="141"/>
    </row>
    <row r="102" spans="1:11" ht="12.75">
      <c r="A102" s="135" t="s">
        <v>223</v>
      </c>
      <c r="B102" s="145">
        <v>154990</v>
      </c>
      <c r="C102" s="145">
        <v>520</v>
      </c>
      <c r="D102" s="142" t="s">
        <v>211</v>
      </c>
      <c r="E102" s="141"/>
      <c r="F102" s="146">
        <f t="shared" si="12"/>
        <v>0.003355055164849345</v>
      </c>
      <c r="G102" s="183">
        <f t="shared" si="13"/>
        <v>83545</v>
      </c>
      <c r="H102" s="141"/>
      <c r="I102" s="141"/>
      <c r="J102" s="144">
        <f t="shared" si="14"/>
        <v>0.00335504922358591</v>
      </c>
      <c r="K102" s="141"/>
    </row>
    <row r="103" spans="1:11" ht="12.75">
      <c r="A103" s="135" t="s">
        <v>224</v>
      </c>
      <c r="B103" s="145">
        <v>154990</v>
      </c>
      <c r="C103" s="145">
        <v>205</v>
      </c>
      <c r="D103" s="142" t="s">
        <v>211</v>
      </c>
      <c r="E103" s="141"/>
      <c r="F103" s="146">
        <f t="shared" si="12"/>
        <v>0.0013226659784502225</v>
      </c>
      <c r="G103" s="183">
        <f t="shared" si="13"/>
        <v>32936</v>
      </c>
      <c r="H103" s="141"/>
      <c r="I103" s="141"/>
      <c r="J103" s="144">
        <f t="shared" si="14"/>
        <v>0.0013226632500811003</v>
      </c>
      <c r="K103" s="141"/>
    </row>
    <row r="104" spans="1:11" ht="12.75">
      <c r="A104" s="135" t="s">
        <v>225</v>
      </c>
      <c r="B104" s="145">
        <v>154990</v>
      </c>
      <c r="C104" s="145">
        <v>952</v>
      </c>
      <c r="D104" s="142" t="s">
        <v>211</v>
      </c>
      <c r="E104" s="141"/>
      <c r="F104" s="146">
        <f t="shared" si="12"/>
        <v>0.00614233176333957</v>
      </c>
      <c r="G104" s="183">
        <f t="shared" si="13"/>
        <v>152952</v>
      </c>
      <c r="H104" s="141"/>
      <c r="I104" s="141"/>
      <c r="J104" s="144">
        <f t="shared" si="14"/>
        <v>0.006142336331868</v>
      </c>
      <c r="K104" s="141"/>
    </row>
    <row r="105" spans="1:11" ht="12.75">
      <c r="A105" s="140" t="s">
        <v>33</v>
      </c>
      <c r="E105" s="141">
        <f>'FY 09 State Allotments'!D39</f>
        <v>475934678</v>
      </c>
      <c r="G105" s="136"/>
      <c r="H105" s="141">
        <f>SUM(G106:G107)</f>
        <v>525526</v>
      </c>
      <c r="I105" s="141">
        <f>E105-H105</f>
        <v>475409152</v>
      </c>
      <c r="K105" s="141"/>
    </row>
    <row r="106" spans="1:11" ht="12.75">
      <c r="A106" s="153" t="s">
        <v>226</v>
      </c>
      <c r="B106" s="145">
        <v>1622237</v>
      </c>
      <c r="C106" s="154">
        <v>547</v>
      </c>
      <c r="D106" s="155" t="s">
        <v>145</v>
      </c>
      <c r="E106" s="141"/>
      <c r="F106" s="146">
        <f>C106/B106</f>
        <v>0.000337188709171348</v>
      </c>
      <c r="G106" s="183">
        <f>ROUND($E$105*F106,0)+117846</f>
        <v>278326</v>
      </c>
      <c r="H106" s="141"/>
      <c r="I106" s="141"/>
      <c r="J106" s="144">
        <f>G106/$E$105</f>
        <v>0.0005847987399648991</v>
      </c>
      <c r="K106" s="141"/>
    </row>
    <row r="107" spans="1:11" ht="12.75">
      <c r="A107" s="153" t="s">
        <v>227</v>
      </c>
      <c r="B107" s="145">
        <v>1622237</v>
      </c>
      <c r="C107" s="154">
        <v>317</v>
      </c>
      <c r="D107" s="155" t="s">
        <v>145</v>
      </c>
      <c r="E107" s="141"/>
      <c r="F107" s="146">
        <f>C107/B107</f>
        <v>0.0001954091788067958</v>
      </c>
      <c r="G107" s="183">
        <f>ROUND($E$105*F107,0)+154198</f>
        <v>247200</v>
      </c>
      <c r="H107" s="141"/>
      <c r="I107" s="141"/>
      <c r="J107" s="144">
        <f>G107/$E$105</f>
        <v>0.0005193990087858233</v>
      </c>
      <c r="K107" s="141"/>
    </row>
    <row r="108" spans="1:11" ht="12.75">
      <c r="A108" s="140" t="s">
        <v>34</v>
      </c>
      <c r="E108" s="141">
        <f>'FY 09 State Allotments'!D40</f>
        <v>123242605</v>
      </c>
      <c r="G108" s="136"/>
      <c r="H108" s="141">
        <f>G109</f>
        <v>2191785</v>
      </c>
      <c r="I108" s="141">
        <f>E108-H108</f>
        <v>121050820</v>
      </c>
      <c r="K108" s="141"/>
    </row>
    <row r="109" spans="1:11" ht="12.75">
      <c r="A109" s="135" t="s">
        <v>228</v>
      </c>
      <c r="B109" s="145">
        <v>618221</v>
      </c>
      <c r="C109" s="145">
        <v>6441</v>
      </c>
      <c r="D109" s="142" t="s">
        <v>147</v>
      </c>
      <c r="E109" s="141"/>
      <c r="F109" s="146">
        <v>0.01778431</v>
      </c>
      <c r="G109" s="183">
        <f>ROUND($E$108*F109,0)</f>
        <v>2191785</v>
      </c>
      <c r="H109" s="141"/>
      <c r="I109" s="141"/>
      <c r="J109" s="144">
        <f>G109/E108</f>
        <v>0.017784312494855167</v>
      </c>
      <c r="K109" s="141"/>
    </row>
    <row r="110" spans="1:11" ht="12.75">
      <c r="A110" s="140" t="s">
        <v>35</v>
      </c>
      <c r="D110" s="135" t="s">
        <v>69</v>
      </c>
      <c r="E110" s="141">
        <f>'FY 09 State Allotments'!D41</f>
        <v>34325312</v>
      </c>
      <c r="F110" s="150"/>
      <c r="G110" s="136"/>
      <c r="H110" s="141">
        <f>SUM(G111:G114)</f>
        <v>7026391</v>
      </c>
      <c r="I110" s="141">
        <f>E110-H110</f>
        <v>27298921</v>
      </c>
      <c r="K110" s="141"/>
    </row>
    <row r="111" spans="1:11" ht="12.75">
      <c r="A111" s="135" t="s">
        <v>229</v>
      </c>
      <c r="D111" s="142" t="s">
        <v>147</v>
      </c>
      <c r="E111" s="141"/>
      <c r="F111" s="146">
        <v>0.0446</v>
      </c>
      <c r="G111" s="183">
        <f>ROUND($E$110*F111,0)</f>
        <v>1530909</v>
      </c>
      <c r="H111" s="141"/>
      <c r="I111" s="141"/>
      <c r="J111" s="144">
        <f>G111/$E$110</f>
        <v>0.04460000247048009</v>
      </c>
      <c r="K111" s="141"/>
    </row>
    <row r="112" spans="1:11" ht="12.75">
      <c r="A112" s="135" t="s">
        <v>230</v>
      </c>
      <c r="D112" s="142" t="s">
        <v>147</v>
      </c>
      <c r="E112" s="141"/>
      <c r="F112" s="146">
        <v>0.0394</v>
      </c>
      <c r="G112" s="183">
        <f>ROUND($E$110*F112,0)</f>
        <v>1352417</v>
      </c>
      <c r="H112" s="141"/>
      <c r="I112" s="141"/>
      <c r="J112" s="144">
        <f>G112/$E$110</f>
        <v>0.03939999146985175</v>
      </c>
      <c r="K112" s="141"/>
    </row>
    <row r="113" spans="1:11" ht="12.75">
      <c r="A113" s="135" t="s">
        <v>231</v>
      </c>
      <c r="D113" s="142" t="s">
        <v>147</v>
      </c>
      <c r="E113" s="141"/>
      <c r="F113" s="146">
        <v>0.0367</v>
      </c>
      <c r="G113" s="183">
        <f>ROUND($E$110*F113,0)</f>
        <v>1259739</v>
      </c>
      <c r="H113" s="141"/>
      <c r="I113" s="141"/>
      <c r="J113" s="144">
        <f>G113/$E$110</f>
        <v>0.03670000144499779</v>
      </c>
      <c r="K113" s="141"/>
    </row>
    <row r="114" spans="1:11" ht="12.75">
      <c r="A114" s="135" t="s">
        <v>232</v>
      </c>
      <c r="D114" s="142" t="s">
        <v>147</v>
      </c>
      <c r="E114" s="141"/>
      <c r="F114" s="146">
        <v>0.084</v>
      </c>
      <c r="G114" s="183">
        <f>ROUND($E$110*F114,0)</f>
        <v>2883326</v>
      </c>
      <c r="H114" s="141"/>
      <c r="I114" s="141"/>
      <c r="J114" s="144">
        <f>G114/$E$110</f>
        <v>0.08399999394033185</v>
      </c>
      <c r="K114" s="141"/>
    </row>
    <row r="115" spans="1:11" ht="12.75">
      <c r="A115" s="140" t="s">
        <v>37</v>
      </c>
      <c r="E115" s="141">
        <f>'FY 09 State Allotments'!D43</f>
        <v>49007158</v>
      </c>
      <c r="F115" s="150"/>
      <c r="G115" s="136"/>
      <c r="H115" s="141">
        <f>SUM(G116:G147)</f>
        <v>4435596</v>
      </c>
      <c r="I115" s="141">
        <f>E115-H115</f>
        <v>44571562</v>
      </c>
      <c r="K115" s="141"/>
    </row>
    <row r="116" spans="1:11" ht="12.75">
      <c r="A116" s="135" t="s">
        <v>233</v>
      </c>
      <c r="B116" s="145">
        <v>334782</v>
      </c>
      <c r="C116" s="145">
        <v>195</v>
      </c>
      <c r="D116" s="149" t="s">
        <v>145</v>
      </c>
      <c r="E116" s="141"/>
      <c r="F116" s="146">
        <f aca="true" t="shared" si="15" ref="F116:F121">C116/B116</f>
        <v>0.0005824685915013352</v>
      </c>
      <c r="G116" s="183">
        <f aca="true" t="shared" si="16" ref="G116:G147">ROUND(MAXA($E$115*F116,4000),0)</f>
        <v>28545</v>
      </c>
      <c r="H116" s="141"/>
      <c r="I116" s="141"/>
      <c r="J116" s="144">
        <f aca="true" t="shared" si="17" ref="J116:J147">G116/$E$115</f>
        <v>0.0005824659328337301</v>
      </c>
      <c r="K116" s="141"/>
    </row>
    <row r="117" spans="1:11" ht="12.75">
      <c r="A117" s="135" t="s">
        <v>234</v>
      </c>
      <c r="B117" s="145">
        <v>334782</v>
      </c>
      <c r="C117" s="145">
        <v>125</v>
      </c>
      <c r="D117" s="149" t="s">
        <v>145</v>
      </c>
      <c r="E117" s="141"/>
      <c r="F117" s="146">
        <f t="shared" si="15"/>
        <v>0.00037337730224444566</v>
      </c>
      <c r="G117" s="183">
        <f t="shared" si="16"/>
        <v>18298</v>
      </c>
      <c r="H117" s="141"/>
      <c r="I117" s="141"/>
      <c r="J117" s="144">
        <f t="shared" si="17"/>
        <v>0.00037337402834092113</v>
      </c>
      <c r="K117" s="141"/>
    </row>
    <row r="118" spans="1:11" ht="12.75">
      <c r="A118" s="135" t="s">
        <v>235</v>
      </c>
      <c r="B118" s="145">
        <v>334782</v>
      </c>
      <c r="C118" s="145">
        <v>168</v>
      </c>
      <c r="D118" s="149" t="s">
        <v>145</v>
      </c>
      <c r="E118" s="141"/>
      <c r="F118" s="146">
        <f t="shared" si="15"/>
        <v>0.000501819094216535</v>
      </c>
      <c r="G118" s="183">
        <f t="shared" si="16"/>
        <v>24593</v>
      </c>
      <c r="H118" s="141"/>
      <c r="I118" s="141"/>
      <c r="J118" s="144">
        <f t="shared" si="17"/>
        <v>0.0005018246518192302</v>
      </c>
      <c r="K118" s="141"/>
    </row>
    <row r="119" spans="1:11" ht="12.75">
      <c r="A119" s="135" t="s">
        <v>236</v>
      </c>
      <c r="B119" s="145">
        <v>334782</v>
      </c>
      <c r="C119" s="145">
        <v>196</v>
      </c>
      <c r="D119" s="149" t="s">
        <v>145</v>
      </c>
      <c r="E119" s="141"/>
      <c r="F119" s="146">
        <f t="shared" si="15"/>
        <v>0.0005854556099192908</v>
      </c>
      <c r="G119" s="183">
        <f t="shared" si="16"/>
        <v>28692</v>
      </c>
      <c r="H119" s="141"/>
      <c r="I119" s="141"/>
      <c r="J119" s="144">
        <f t="shared" si="17"/>
        <v>0.0005854654946528423</v>
      </c>
      <c r="K119" s="141"/>
    </row>
    <row r="120" spans="1:11" ht="12.75">
      <c r="A120" s="135" t="s">
        <v>237</v>
      </c>
      <c r="B120" s="145">
        <v>334782</v>
      </c>
      <c r="C120" s="145">
        <v>12117</v>
      </c>
      <c r="D120" s="149" t="s">
        <v>145</v>
      </c>
      <c r="E120" s="141"/>
      <c r="F120" s="146">
        <f t="shared" si="15"/>
        <v>0.03619370217036758</v>
      </c>
      <c r="G120" s="183">
        <f t="shared" si="16"/>
        <v>1773750</v>
      </c>
      <c r="H120" s="141"/>
      <c r="I120" s="156"/>
      <c r="J120" s="144">
        <f t="shared" si="17"/>
        <v>0.03619369235816531</v>
      </c>
      <c r="K120" s="141"/>
    </row>
    <row r="121" spans="1:11" ht="12.75">
      <c r="A121" s="135" t="s">
        <v>238</v>
      </c>
      <c r="B121" s="145">
        <v>334782</v>
      </c>
      <c r="C121" s="145">
        <v>635</v>
      </c>
      <c r="D121" s="149" t="s">
        <v>145</v>
      </c>
      <c r="E121" s="141"/>
      <c r="F121" s="146">
        <f t="shared" si="15"/>
        <v>0.0018967566954017838</v>
      </c>
      <c r="G121" s="183">
        <f t="shared" si="16"/>
        <v>92955</v>
      </c>
      <c r="H121" s="141"/>
      <c r="I121" s="141"/>
      <c r="J121" s="144">
        <f t="shared" si="17"/>
        <v>0.0018967637339835132</v>
      </c>
      <c r="K121" s="141"/>
    </row>
    <row r="122" spans="1:11" ht="12.75">
      <c r="A122" s="135" t="s">
        <v>239</v>
      </c>
      <c r="B122" s="145">
        <v>334782</v>
      </c>
      <c r="C122" s="145">
        <v>1377</v>
      </c>
      <c r="D122" s="142" t="s">
        <v>147</v>
      </c>
      <c r="E122" s="141"/>
      <c r="F122" s="146">
        <v>0.00487272</v>
      </c>
      <c r="G122" s="183">
        <f t="shared" si="16"/>
        <v>238798</v>
      </c>
      <c r="H122" s="141"/>
      <c r="I122" s="141"/>
      <c r="J122" s="144">
        <f t="shared" si="17"/>
        <v>0.004872716757009251</v>
      </c>
      <c r="K122" s="141"/>
    </row>
    <row r="123" spans="1:11" ht="12.75">
      <c r="A123" s="135" t="s">
        <v>240</v>
      </c>
      <c r="B123" s="145">
        <v>334782</v>
      </c>
      <c r="C123" s="145">
        <v>4412</v>
      </c>
      <c r="D123" s="142" t="s">
        <v>147</v>
      </c>
      <c r="E123" s="141"/>
      <c r="F123" s="146">
        <v>0.01368002</v>
      </c>
      <c r="G123" s="183">
        <f t="shared" si="16"/>
        <v>670419</v>
      </c>
      <c r="H123" s="141"/>
      <c r="I123" s="156"/>
      <c r="J123" s="144">
        <f t="shared" si="17"/>
        <v>0.013680022008213576</v>
      </c>
      <c r="K123" s="141"/>
    </row>
    <row r="124" spans="1:11" ht="12.75">
      <c r="A124" s="135" t="s">
        <v>241</v>
      </c>
      <c r="B124" s="145">
        <v>334782</v>
      </c>
      <c r="C124" s="145">
        <v>256</v>
      </c>
      <c r="D124" s="149" t="s">
        <v>145</v>
      </c>
      <c r="E124" s="141"/>
      <c r="F124" s="146">
        <f>C124/B124</f>
        <v>0.0007646767149966247</v>
      </c>
      <c r="G124" s="183">
        <f t="shared" si="16"/>
        <v>37475</v>
      </c>
      <c r="H124" s="141"/>
      <c r="I124" s="141"/>
      <c r="J124" s="144">
        <f t="shared" si="17"/>
        <v>0.0007646842120491868</v>
      </c>
      <c r="K124" s="141"/>
    </row>
    <row r="125" spans="1:11" ht="12.75">
      <c r="A125" s="135" t="s">
        <v>242</v>
      </c>
      <c r="B125" s="145">
        <v>334782</v>
      </c>
      <c r="C125" s="145">
        <v>696</v>
      </c>
      <c r="D125" s="142" t="s">
        <v>147</v>
      </c>
      <c r="E125" s="141"/>
      <c r="F125" s="146">
        <v>0.00218432</v>
      </c>
      <c r="G125" s="183">
        <f t="shared" si="16"/>
        <v>107047</v>
      </c>
      <c r="H125" s="141"/>
      <c r="I125" s="141"/>
      <c r="J125" s="144">
        <f t="shared" si="17"/>
        <v>0.0021843135649694274</v>
      </c>
      <c r="K125" s="141"/>
    </row>
    <row r="126" spans="1:11" ht="12.75">
      <c r="A126" s="135" t="s">
        <v>243</v>
      </c>
      <c r="B126" s="145">
        <v>334782</v>
      </c>
      <c r="C126" s="145">
        <v>27</v>
      </c>
      <c r="D126" s="149" t="s">
        <v>145</v>
      </c>
      <c r="E126" s="141"/>
      <c r="F126" s="146">
        <f aca="true" t="shared" si="18" ref="F126:F133">C126/B126</f>
        <v>8.064949728480026E-05</v>
      </c>
      <c r="G126" s="183">
        <f t="shared" si="16"/>
        <v>4000</v>
      </c>
      <c r="H126" s="141"/>
      <c r="I126" s="141"/>
      <c r="J126" s="144">
        <f t="shared" si="17"/>
        <v>8.16207297717611E-05</v>
      </c>
      <c r="K126" s="141"/>
    </row>
    <row r="127" spans="1:11" ht="12.75">
      <c r="A127" s="135" t="s">
        <v>244</v>
      </c>
      <c r="B127" s="145">
        <v>334782</v>
      </c>
      <c r="C127" s="145">
        <v>8</v>
      </c>
      <c r="D127" s="149" t="s">
        <v>145</v>
      </c>
      <c r="E127" s="141"/>
      <c r="F127" s="146">
        <f t="shared" si="18"/>
        <v>2.389614734364452E-05</v>
      </c>
      <c r="G127" s="183">
        <f t="shared" si="16"/>
        <v>4000</v>
      </c>
      <c r="H127" s="141"/>
      <c r="I127" s="141"/>
      <c r="J127" s="144">
        <f t="shared" si="17"/>
        <v>8.16207297717611E-05</v>
      </c>
      <c r="K127" s="141"/>
    </row>
    <row r="128" spans="1:11" ht="12.75">
      <c r="A128" s="135" t="s">
        <v>245</v>
      </c>
      <c r="B128" s="145">
        <v>334782</v>
      </c>
      <c r="C128" s="145"/>
      <c r="D128" s="149" t="s">
        <v>145</v>
      </c>
      <c r="E128" s="141"/>
      <c r="F128" s="146">
        <f t="shared" si="18"/>
        <v>0</v>
      </c>
      <c r="G128" s="183">
        <f t="shared" si="16"/>
        <v>4000</v>
      </c>
      <c r="H128" s="141"/>
      <c r="I128" s="141"/>
      <c r="J128" s="144">
        <f t="shared" si="17"/>
        <v>8.16207297717611E-05</v>
      </c>
      <c r="K128" s="141"/>
    </row>
    <row r="129" spans="1:11" ht="12.75">
      <c r="A129" s="135" t="s">
        <v>246</v>
      </c>
      <c r="B129" s="145">
        <v>334782</v>
      </c>
      <c r="C129" s="145">
        <v>170</v>
      </c>
      <c r="D129" s="149" t="s">
        <v>145</v>
      </c>
      <c r="F129" s="146">
        <f t="shared" si="18"/>
        <v>0.0005077931310524461</v>
      </c>
      <c r="G129" s="183">
        <f t="shared" si="16"/>
        <v>24885</v>
      </c>
      <c r="H129" s="141"/>
      <c r="J129" s="144">
        <f t="shared" si="17"/>
        <v>0.0005077829650925687</v>
      </c>
      <c r="K129" s="141"/>
    </row>
    <row r="130" spans="1:11" ht="12.75">
      <c r="A130" s="157" t="s">
        <v>247</v>
      </c>
      <c r="B130" s="145">
        <v>334782</v>
      </c>
      <c r="C130" s="145">
        <v>612</v>
      </c>
      <c r="D130" s="149" t="s">
        <v>145</v>
      </c>
      <c r="F130" s="146">
        <f t="shared" si="18"/>
        <v>0.0018280552717888057</v>
      </c>
      <c r="G130" s="183">
        <f t="shared" si="16"/>
        <v>89588</v>
      </c>
      <c r="H130" s="141"/>
      <c r="J130" s="144">
        <f t="shared" si="17"/>
        <v>0.0018280594846981333</v>
      </c>
      <c r="K130" s="141"/>
    </row>
    <row r="131" spans="1:11" ht="12.75">
      <c r="A131" s="135" t="s">
        <v>248</v>
      </c>
      <c r="B131" s="145">
        <v>334782</v>
      </c>
      <c r="C131" s="145">
        <v>100</v>
      </c>
      <c r="D131" s="149" t="s">
        <v>145</v>
      </c>
      <c r="E131" s="141"/>
      <c r="F131" s="146">
        <f t="shared" si="18"/>
        <v>0.0002987018417955565</v>
      </c>
      <c r="G131" s="183">
        <f t="shared" si="16"/>
        <v>14639</v>
      </c>
      <c r="H131" s="141"/>
      <c r="I131" s="141"/>
      <c r="J131" s="144">
        <f t="shared" si="17"/>
        <v>0.0002987114657822027</v>
      </c>
      <c r="K131" s="141"/>
    </row>
    <row r="132" spans="1:11" ht="12.75">
      <c r="A132" s="135" t="s">
        <v>249</v>
      </c>
      <c r="B132" s="145">
        <v>334782</v>
      </c>
      <c r="C132" s="145">
        <v>6</v>
      </c>
      <c r="D132" s="149" t="s">
        <v>145</v>
      </c>
      <c r="F132" s="146">
        <f t="shared" si="18"/>
        <v>1.792211050773339E-05</v>
      </c>
      <c r="G132" s="183">
        <f t="shared" si="16"/>
        <v>4000</v>
      </c>
      <c r="H132" s="141"/>
      <c r="J132" s="144">
        <f t="shared" si="17"/>
        <v>8.16207297717611E-05</v>
      </c>
      <c r="K132" s="141"/>
    </row>
    <row r="133" spans="1:11" ht="12.75">
      <c r="A133" s="135" t="s">
        <v>250</v>
      </c>
      <c r="B133" s="145">
        <v>334782</v>
      </c>
      <c r="C133" s="145">
        <v>3057</v>
      </c>
      <c r="D133" s="149" t="s">
        <v>145</v>
      </c>
      <c r="E133" s="141"/>
      <c r="F133" s="146">
        <f t="shared" si="18"/>
        <v>0.009131315303690163</v>
      </c>
      <c r="G133" s="183">
        <f t="shared" si="16"/>
        <v>447500</v>
      </c>
      <c r="H133" s="141"/>
      <c r="I133" s="141"/>
      <c r="J133" s="144">
        <f t="shared" si="17"/>
        <v>0.009131319143215773</v>
      </c>
      <c r="K133" s="141"/>
    </row>
    <row r="134" spans="1:11" ht="12.75">
      <c r="A134" s="135" t="s">
        <v>251</v>
      </c>
      <c r="B134" s="145">
        <v>334782</v>
      </c>
      <c r="C134" s="145">
        <v>678</v>
      </c>
      <c r="D134" s="142" t="s">
        <v>147</v>
      </c>
      <c r="E134" s="141"/>
      <c r="F134" s="146">
        <v>0.00345851</v>
      </c>
      <c r="G134" s="183">
        <f t="shared" si="16"/>
        <v>169492</v>
      </c>
      <c r="H134" s="141"/>
      <c r="I134" s="141"/>
      <c r="J134" s="144">
        <f t="shared" si="17"/>
        <v>0.003458515182618833</v>
      </c>
      <c r="K134" s="141"/>
    </row>
    <row r="135" spans="1:11" ht="12.75">
      <c r="A135" s="135" t="s">
        <v>252</v>
      </c>
      <c r="B135" s="145">
        <v>334782</v>
      </c>
      <c r="C135" s="145">
        <v>92</v>
      </c>
      <c r="D135" s="149" t="s">
        <v>145</v>
      </c>
      <c r="E135" s="141"/>
      <c r="F135" s="146">
        <f>C135/B135</f>
        <v>0.000274805694451912</v>
      </c>
      <c r="G135" s="183">
        <f t="shared" si="16"/>
        <v>13467</v>
      </c>
      <c r="H135" s="141"/>
      <c r="I135" s="141"/>
      <c r="J135" s="144">
        <f t="shared" si="17"/>
        <v>0.00027479659195907665</v>
      </c>
      <c r="K135" s="141"/>
    </row>
    <row r="136" spans="1:11" ht="12.75">
      <c r="A136" s="135" t="s">
        <v>253</v>
      </c>
      <c r="B136" s="145">
        <v>334782</v>
      </c>
      <c r="C136" s="145">
        <v>23</v>
      </c>
      <c r="D136" s="149" t="s">
        <v>145</v>
      </c>
      <c r="E136" s="141"/>
      <c r="F136" s="146">
        <f>C136/B136</f>
        <v>6.8701423612978E-05</v>
      </c>
      <c r="G136" s="183">
        <f t="shared" si="16"/>
        <v>4000</v>
      </c>
      <c r="H136" s="141"/>
      <c r="I136" s="141"/>
      <c r="J136" s="144">
        <f t="shared" si="17"/>
        <v>8.16207297717611E-05</v>
      </c>
      <c r="K136" s="141"/>
    </row>
    <row r="137" spans="1:11" ht="12.75">
      <c r="A137" s="135" t="s">
        <v>254</v>
      </c>
      <c r="B137" s="145">
        <v>334782</v>
      </c>
      <c r="C137" s="145">
        <v>104</v>
      </c>
      <c r="D137" s="149" t="s">
        <v>145</v>
      </c>
      <c r="E137" s="141"/>
      <c r="F137" s="146">
        <f>C137/B137</f>
        <v>0.0003106499154673788</v>
      </c>
      <c r="G137" s="183">
        <f t="shared" si="16"/>
        <v>15224</v>
      </c>
      <c r="H137" s="141"/>
      <c r="I137" s="141"/>
      <c r="J137" s="144">
        <f t="shared" si="17"/>
        <v>0.00031064849751132273</v>
      </c>
      <c r="K137" s="141"/>
    </row>
    <row r="138" spans="1:11" ht="12.75">
      <c r="A138" s="135" t="s">
        <v>255</v>
      </c>
      <c r="B138" s="145">
        <v>334782</v>
      </c>
      <c r="C138" s="145">
        <v>225</v>
      </c>
      <c r="D138" s="149" t="s">
        <v>145</v>
      </c>
      <c r="F138" s="146">
        <f>C138/B138</f>
        <v>0.0006720791440400022</v>
      </c>
      <c r="G138" s="183">
        <f t="shared" si="16"/>
        <v>32937</v>
      </c>
      <c r="H138" s="141"/>
      <c r="J138" s="144">
        <f t="shared" si="17"/>
        <v>0.0006720854941231238</v>
      </c>
      <c r="K138" s="141"/>
    </row>
    <row r="139" spans="1:11" ht="12.75">
      <c r="A139" s="135" t="s">
        <v>256</v>
      </c>
      <c r="B139" s="145">
        <v>334782</v>
      </c>
      <c r="C139" s="145">
        <v>246</v>
      </c>
      <c r="D139" s="149" t="s">
        <v>145</v>
      </c>
      <c r="F139" s="146">
        <f>C139/B139</f>
        <v>0.000734806530817069</v>
      </c>
      <c r="G139" s="183">
        <f t="shared" si="16"/>
        <v>36011</v>
      </c>
      <c r="H139" s="141"/>
      <c r="J139" s="144">
        <f t="shared" si="17"/>
        <v>0.0007348110249527222</v>
      </c>
      <c r="K139" s="141"/>
    </row>
    <row r="140" spans="1:11" ht="12.75">
      <c r="A140" s="135" t="s">
        <v>257</v>
      </c>
      <c r="B140" s="145">
        <v>334782</v>
      </c>
      <c r="C140" s="145">
        <v>194</v>
      </c>
      <c r="D140" s="142" t="s">
        <v>147</v>
      </c>
      <c r="E140" s="141"/>
      <c r="F140" s="146">
        <v>0.0006441</v>
      </c>
      <c r="G140" s="183">
        <f t="shared" si="16"/>
        <v>31566</v>
      </c>
      <c r="H140" s="141"/>
      <c r="I140" s="141"/>
      <c r="J140" s="144">
        <f t="shared" si="17"/>
        <v>0.0006441099889938527</v>
      </c>
      <c r="K140" s="141"/>
    </row>
    <row r="141" spans="1:11" ht="12.75">
      <c r="A141" s="135" t="s">
        <v>258</v>
      </c>
      <c r="B141" s="145">
        <v>334782</v>
      </c>
      <c r="C141" s="145">
        <v>606</v>
      </c>
      <c r="D141" s="149" t="s">
        <v>145</v>
      </c>
      <c r="E141" s="141"/>
      <c r="F141" s="146">
        <f aca="true" t="shared" si="19" ref="F141:F147">C141/B141</f>
        <v>0.0018101331612810725</v>
      </c>
      <c r="G141" s="183">
        <f t="shared" si="16"/>
        <v>88709</v>
      </c>
      <c r="H141" s="141"/>
      <c r="I141" s="141"/>
      <c r="J141" s="144">
        <f t="shared" si="17"/>
        <v>0.0018101233293307888</v>
      </c>
      <c r="K141" s="141"/>
    </row>
    <row r="142" spans="1:11" ht="12.75">
      <c r="A142" s="135" t="s">
        <v>259</v>
      </c>
      <c r="B142" s="145">
        <v>334782</v>
      </c>
      <c r="C142" s="145">
        <v>119</v>
      </c>
      <c r="D142" s="149" t="s">
        <v>145</v>
      </c>
      <c r="E142" s="141"/>
      <c r="F142" s="146">
        <f t="shared" si="19"/>
        <v>0.00035545519173671225</v>
      </c>
      <c r="G142" s="183">
        <f t="shared" si="16"/>
        <v>17420</v>
      </c>
      <c r="H142" s="141"/>
      <c r="I142" s="141"/>
      <c r="J142" s="144">
        <f t="shared" si="17"/>
        <v>0.00035545827815601955</v>
      </c>
      <c r="K142" s="141"/>
    </row>
    <row r="143" spans="1:11" ht="12.75">
      <c r="A143" s="135" t="s">
        <v>260</v>
      </c>
      <c r="B143" s="145">
        <v>334782</v>
      </c>
      <c r="C143" s="145"/>
      <c r="D143" s="149" t="s">
        <v>145</v>
      </c>
      <c r="E143" s="141"/>
      <c r="F143" s="146">
        <f t="shared" si="19"/>
        <v>0</v>
      </c>
      <c r="G143" s="183">
        <f t="shared" si="16"/>
        <v>4000</v>
      </c>
      <c r="H143" s="141"/>
      <c r="I143" s="141"/>
      <c r="J143" s="144">
        <f t="shared" si="17"/>
        <v>8.16207297717611E-05</v>
      </c>
      <c r="K143" s="141"/>
    </row>
    <row r="144" spans="1:11" ht="12.75">
      <c r="A144" s="135" t="s">
        <v>261</v>
      </c>
      <c r="B144" s="145">
        <v>334782</v>
      </c>
      <c r="C144" s="145">
        <v>34</v>
      </c>
      <c r="D144" s="149" t="s">
        <v>145</v>
      </c>
      <c r="E144" s="141"/>
      <c r="F144" s="146">
        <f t="shared" si="19"/>
        <v>0.00010155862621048922</v>
      </c>
      <c r="G144" s="183">
        <f t="shared" si="16"/>
        <v>4977</v>
      </c>
      <c r="H144" s="141"/>
      <c r="I144" s="141"/>
      <c r="J144" s="144">
        <f t="shared" si="17"/>
        <v>0.00010155659301851375</v>
      </c>
      <c r="K144" s="141"/>
    </row>
    <row r="145" spans="1:11" ht="12.75">
      <c r="A145" s="135" t="s">
        <v>262</v>
      </c>
      <c r="B145" s="145">
        <v>334782</v>
      </c>
      <c r="C145" s="145">
        <v>2600</v>
      </c>
      <c r="D145" s="149" t="s">
        <v>145</v>
      </c>
      <c r="E145" s="141"/>
      <c r="F145" s="146">
        <f t="shared" si="19"/>
        <v>0.007766247886684469</v>
      </c>
      <c r="G145" s="183">
        <f t="shared" si="16"/>
        <v>380602</v>
      </c>
      <c r="H145" s="141"/>
      <c r="I145" s="141"/>
      <c r="J145" s="144">
        <f t="shared" si="17"/>
        <v>0.007766253248147954</v>
      </c>
      <c r="K145" s="141"/>
    </row>
    <row r="146" spans="1:11" ht="12.75">
      <c r="A146" s="135" t="s">
        <v>263</v>
      </c>
      <c r="B146" s="145">
        <v>334782</v>
      </c>
      <c r="C146" s="145">
        <v>89</v>
      </c>
      <c r="D146" s="149" t="s">
        <v>145</v>
      </c>
      <c r="E146" s="141"/>
      <c r="F146" s="146">
        <f t="shared" si="19"/>
        <v>0.0002658446391980453</v>
      </c>
      <c r="G146" s="183">
        <f t="shared" si="16"/>
        <v>13028</v>
      </c>
      <c r="H146" s="141"/>
      <c r="I146" s="141"/>
      <c r="J146" s="144">
        <f t="shared" si="17"/>
        <v>0.0002658387168666259</v>
      </c>
      <c r="K146" s="141"/>
    </row>
    <row r="147" spans="1:11" ht="12.75">
      <c r="A147" s="135" t="s">
        <v>264</v>
      </c>
      <c r="B147" s="145">
        <v>334782</v>
      </c>
      <c r="C147" s="145">
        <v>75</v>
      </c>
      <c r="D147" s="149" t="s">
        <v>145</v>
      </c>
      <c r="E147" s="141"/>
      <c r="F147" s="146">
        <f t="shared" si="19"/>
        <v>0.00022402638134666738</v>
      </c>
      <c r="G147" s="183">
        <f t="shared" si="16"/>
        <v>10979</v>
      </c>
      <c r="H147" s="141"/>
      <c r="I147" s="141"/>
      <c r="J147" s="144">
        <f t="shared" si="17"/>
        <v>0.00022402849804104127</v>
      </c>
      <c r="K147" s="141"/>
    </row>
    <row r="148" spans="1:11" ht="12.75">
      <c r="A148" s="140" t="s">
        <v>38</v>
      </c>
      <c r="D148" s="135" t="s">
        <v>69</v>
      </c>
      <c r="E148" s="141">
        <f>'FY 09 State Allotments'!D44</f>
        <v>45355128</v>
      </c>
      <c r="F148" s="146"/>
      <c r="G148" s="136"/>
      <c r="H148" s="141">
        <f>SUM(G149:G154)</f>
        <v>714661</v>
      </c>
      <c r="I148" s="141">
        <f>E148-H148</f>
        <v>44640467</v>
      </c>
      <c r="K148" s="141"/>
    </row>
    <row r="149" spans="1:11" ht="12.75">
      <c r="A149" s="135" t="s">
        <v>265</v>
      </c>
      <c r="B149" s="145">
        <v>239405</v>
      </c>
      <c r="C149" s="131">
        <v>120</v>
      </c>
      <c r="D149" s="142" t="s">
        <v>196</v>
      </c>
      <c r="E149" s="141"/>
      <c r="F149" s="146"/>
      <c r="G149" s="183">
        <v>37000</v>
      </c>
      <c r="H149" s="141"/>
      <c r="I149" s="141"/>
      <c r="J149" s="144">
        <f aca="true" t="shared" si="20" ref="J149:J154">G149/$E$148</f>
        <v>0.0008157842703034594</v>
      </c>
      <c r="K149" s="141"/>
    </row>
    <row r="150" spans="1:11" ht="12.75">
      <c r="A150" s="135" t="s">
        <v>266</v>
      </c>
      <c r="B150" s="145">
        <v>239405</v>
      </c>
      <c r="D150" s="142" t="s">
        <v>196</v>
      </c>
      <c r="E150" s="141"/>
      <c r="F150" s="146">
        <f>$C150/$B150</f>
        <v>0</v>
      </c>
      <c r="G150" s="183">
        <v>118845</v>
      </c>
      <c r="H150" s="141"/>
      <c r="I150" s="141"/>
      <c r="J150" s="144">
        <f t="shared" si="20"/>
        <v>0.0026203211244382333</v>
      </c>
      <c r="K150" s="141"/>
    </row>
    <row r="151" spans="1:11" ht="12.75">
      <c r="A151" s="135" t="s">
        <v>267</v>
      </c>
      <c r="B151" s="145">
        <v>239405</v>
      </c>
      <c r="C151" s="131">
        <v>150</v>
      </c>
      <c r="D151" s="149" t="s">
        <v>196</v>
      </c>
      <c r="E151" s="141"/>
      <c r="F151" s="146">
        <f>$C151/$B151</f>
        <v>0.0006265533301309497</v>
      </c>
      <c r="G151" s="183">
        <v>114665</v>
      </c>
      <c r="H151" s="141"/>
      <c r="I151" s="141"/>
      <c r="J151" s="144">
        <f t="shared" si="20"/>
        <v>0.002528159550117464</v>
      </c>
      <c r="K151" s="141"/>
    </row>
    <row r="152" spans="1:11" ht="12.75">
      <c r="A152" s="135" t="s">
        <v>268</v>
      </c>
      <c r="B152" s="145">
        <v>239405</v>
      </c>
      <c r="D152" s="142" t="s">
        <v>196</v>
      </c>
      <c r="E152" s="141"/>
      <c r="F152" s="146"/>
      <c r="G152" s="183">
        <v>114665</v>
      </c>
      <c r="H152" s="141"/>
      <c r="I152" s="141"/>
      <c r="J152" s="144">
        <f t="shared" si="20"/>
        <v>0.002528159550117464</v>
      </c>
      <c r="K152" s="141"/>
    </row>
    <row r="153" spans="1:11" ht="12.75">
      <c r="A153" s="135" t="s">
        <v>269</v>
      </c>
      <c r="B153" s="145">
        <v>239405</v>
      </c>
      <c r="D153" s="142" t="s">
        <v>196</v>
      </c>
      <c r="E153" s="141"/>
      <c r="F153" s="158" t="s">
        <v>69</v>
      </c>
      <c r="G153" s="183">
        <v>12000</v>
      </c>
      <c r="H153" s="141"/>
      <c r="I153" s="141"/>
      <c r="J153" s="144">
        <f t="shared" si="20"/>
        <v>0.00026457868226058143</v>
      </c>
      <c r="K153" s="141"/>
    </row>
    <row r="154" spans="1:11" ht="12.75">
      <c r="A154" s="135" t="s">
        <v>270</v>
      </c>
      <c r="B154" s="145">
        <v>239405</v>
      </c>
      <c r="D154" s="142" t="s">
        <v>147</v>
      </c>
      <c r="E154" s="141"/>
      <c r="F154" s="151">
        <v>0.007</v>
      </c>
      <c r="G154" s="183">
        <f>ROUND($E$148*F154,0)</f>
        <v>317486</v>
      </c>
      <c r="H154" s="141"/>
      <c r="I154" s="141"/>
      <c r="J154" s="144">
        <f t="shared" si="20"/>
        <v>0.007000002293015247</v>
      </c>
      <c r="K154" s="141"/>
    </row>
    <row r="155" spans="1:11" ht="12.75">
      <c r="A155" s="140" t="s">
        <v>40</v>
      </c>
      <c r="E155" s="141">
        <f>'FY 09 State Allotments'!D46</f>
        <v>30208657</v>
      </c>
      <c r="G155" s="136"/>
      <c r="H155" s="141">
        <f>G156</f>
        <v>85595</v>
      </c>
      <c r="I155" s="141">
        <f>E155-H155</f>
        <v>30123062</v>
      </c>
      <c r="K155" s="141"/>
    </row>
    <row r="156" spans="1:11" ht="12.75">
      <c r="A156" s="135" t="s">
        <v>271</v>
      </c>
      <c r="B156" s="145">
        <v>84702</v>
      </c>
      <c r="C156" s="159">
        <v>240</v>
      </c>
      <c r="D156" s="142" t="s">
        <v>145</v>
      </c>
      <c r="E156" s="141"/>
      <c r="F156" s="146">
        <f>C156/B156</f>
        <v>0.002833463200396685</v>
      </c>
      <c r="G156" s="183">
        <f>ROUND($E$155*F156,0)</f>
        <v>85595</v>
      </c>
      <c r="H156" s="141"/>
      <c r="J156" s="144">
        <f>G156/E155</f>
        <v>0.002833459296121638</v>
      </c>
      <c r="K156" s="141"/>
    </row>
    <row r="157" spans="1:11" ht="12.75">
      <c r="A157" s="140" t="s">
        <v>42</v>
      </c>
      <c r="D157" s="135" t="s">
        <v>69</v>
      </c>
      <c r="E157" s="141">
        <f>'FY 09 State Allotments'!D48</f>
        <v>27878165</v>
      </c>
      <c r="F157" s="150"/>
      <c r="G157" s="136"/>
      <c r="H157" s="141">
        <f>SUM(G158:G164)</f>
        <v>4956738</v>
      </c>
      <c r="I157" s="141">
        <f>E157-H157</f>
        <v>22921427</v>
      </c>
      <c r="K157" s="141"/>
    </row>
    <row r="158" spans="1:11" ht="12.75">
      <c r="A158" s="135" t="s">
        <v>272</v>
      </c>
      <c r="D158" s="142" t="s">
        <v>147</v>
      </c>
      <c r="E158" s="141"/>
      <c r="F158" s="150">
        <v>0.0282</v>
      </c>
      <c r="G158" s="183">
        <f aca="true" t="shared" si="21" ref="G158:G164">ROUND($E$157*F158,0)</f>
        <v>786164</v>
      </c>
      <c r="H158" s="141"/>
      <c r="I158" s="141"/>
      <c r="J158" s="144">
        <f aca="true" t="shared" si="22" ref="J158:J164">G158/$E$157</f>
        <v>0.02819999092479724</v>
      </c>
      <c r="K158" s="141"/>
    </row>
    <row r="159" spans="1:11" ht="12.75">
      <c r="A159" s="135" t="s">
        <v>273</v>
      </c>
      <c r="D159" s="142" t="s">
        <v>147</v>
      </c>
      <c r="E159" s="141"/>
      <c r="F159" s="150">
        <v>0.0038</v>
      </c>
      <c r="G159" s="183">
        <f t="shared" si="21"/>
        <v>105937</v>
      </c>
      <c r="H159" s="141"/>
      <c r="I159" s="141"/>
      <c r="J159" s="144">
        <f t="shared" si="22"/>
        <v>0.0037999990315001004</v>
      </c>
      <c r="K159" s="141"/>
    </row>
    <row r="160" spans="1:11" ht="12.75">
      <c r="A160" s="135" t="s">
        <v>274</v>
      </c>
      <c r="D160" s="142" t="s">
        <v>147</v>
      </c>
      <c r="E160" s="141"/>
      <c r="F160" s="150">
        <v>0.0584</v>
      </c>
      <c r="G160" s="183">
        <f t="shared" si="21"/>
        <v>1628085</v>
      </c>
      <c r="H160" s="141"/>
      <c r="I160" s="141"/>
      <c r="J160" s="144">
        <f t="shared" si="22"/>
        <v>0.05840000588274013</v>
      </c>
      <c r="K160" s="141"/>
    </row>
    <row r="161" spans="1:11" ht="12.75">
      <c r="A161" s="135" t="s">
        <v>275</v>
      </c>
      <c r="D161" s="142" t="s">
        <v>147</v>
      </c>
      <c r="E161" s="141"/>
      <c r="F161" s="150">
        <v>0.046</v>
      </c>
      <c r="G161" s="183">
        <f t="shared" si="21"/>
        <v>1282396</v>
      </c>
      <c r="H161" s="141"/>
      <c r="I161" s="141"/>
      <c r="J161" s="144">
        <f t="shared" si="22"/>
        <v>0.04600001470685033</v>
      </c>
      <c r="K161" s="141"/>
    </row>
    <row r="162" spans="1:11" ht="12.75">
      <c r="A162" s="135" t="s">
        <v>276</v>
      </c>
      <c r="D162" s="142" t="s">
        <v>147</v>
      </c>
      <c r="E162" s="141"/>
      <c r="F162" s="150">
        <v>0.0186</v>
      </c>
      <c r="G162" s="183">
        <f t="shared" si="21"/>
        <v>518534</v>
      </c>
      <c r="H162" s="141"/>
      <c r="I162" s="141"/>
      <c r="J162" s="144">
        <f t="shared" si="22"/>
        <v>0.01860000469901803</v>
      </c>
      <c r="K162" s="141"/>
    </row>
    <row r="163" spans="1:11" ht="12.75">
      <c r="A163" s="135" t="s">
        <v>277</v>
      </c>
      <c r="D163" s="142" t="s">
        <v>147</v>
      </c>
      <c r="E163" s="141"/>
      <c r="F163" s="150">
        <v>0.0116</v>
      </c>
      <c r="G163" s="183">
        <f t="shared" si="21"/>
        <v>323387</v>
      </c>
      <c r="H163" s="141"/>
      <c r="I163" s="141"/>
      <c r="J163" s="144">
        <f t="shared" si="22"/>
        <v>0.011600010258924862</v>
      </c>
      <c r="K163" s="141"/>
    </row>
    <row r="164" spans="1:11" ht="12.75">
      <c r="A164" s="135" t="s">
        <v>278</v>
      </c>
      <c r="D164" s="142" t="s">
        <v>147</v>
      </c>
      <c r="E164" s="141"/>
      <c r="F164" s="150">
        <v>0.0112</v>
      </c>
      <c r="G164" s="183">
        <f t="shared" si="21"/>
        <v>312235</v>
      </c>
      <c r="H164" s="141"/>
      <c r="I164" s="141"/>
      <c r="J164" s="144">
        <f t="shared" si="22"/>
        <v>0.011199983930075742</v>
      </c>
      <c r="K164" s="141"/>
    </row>
    <row r="165" spans="1:11" ht="12.75">
      <c r="A165" s="140" t="s">
        <v>45</v>
      </c>
      <c r="D165" s="135" t="s">
        <v>69</v>
      </c>
      <c r="E165" s="141">
        <f>'FY 09 State Allotments'!D51</f>
        <v>32094108</v>
      </c>
      <c r="F165" s="146"/>
      <c r="G165" s="136"/>
      <c r="H165" s="141">
        <f>SUM(G166:G168)</f>
        <v>448570</v>
      </c>
      <c r="I165" s="141">
        <f>E165-H165</f>
        <v>31645538</v>
      </c>
      <c r="K165" s="141"/>
    </row>
    <row r="166" spans="1:11" ht="12.75">
      <c r="A166" s="135" t="s">
        <v>221</v>
      </c>
      <c r="B166" s="145">
        <v>110884</v>
      </c>
      <c r="C166" s="145">
        <v>997</v>
      </c>
      <c r="D166" s="142" t="s">
        <v>211</v>
      </c>
      <c r="E166" s="141"/>
      <c r="F166" s="146">
        <f>C166/B166</f>
        <v>0.008991378377403412</v>
      </c>
      <c r="G166" s="183">
        <f>ROUND($E$165*F166,0)</f>
        <v>288570</v>
      </c>
      <c r="H166" s="141"/>
      <c r="I166" s="141"/>
      <c r="J166" s="144">
        <f>G166/$E$165</f>
        <v>0.008991370004737318</v>
      </c>
      <c r="K166" s="141"/>
    </row>
    <row r="167" spans="1:11" ht="12.75">
      <c r="A167" s="135" t="s">
        <v>279</v>
      </c>
      <c r="B167" s="145">
        <v>110884</v>
      </c>
      <c r="D167" s="142" t="s">
        <v>196</v>
      </c>
      <c r="E167" s="141"/>
      <c r="F167" s="158" t="s">
        <v>69</v>
      </c>
      <c r="G167" s="170">
        <v>60000</v>
      </c>
      <c r="H167" s="160"/>
      <c r="J167" s="144">
        <f>G167/$E$165</f>
        <v>0.0018695020282227504</v>
      </c>
      <c r="K167" s="141"/>
    </row>
    <row r="168" spans="1:11" ht="12.75">
      <c r="A168" s="135" t="s">
        <v>280</v>
      </c>
      <c r="B168" s="145">
        <v>110884</v>
      </c>
      <c r="D168" s="142" t="s">
        <v>196</v>
      </c>
      <c r="E168" s="141"/>
      <c r="F168" s="158" t="s">
        <v>69</v>
      </c>
      <c r="G168" s="170">
        <v>100000</v>
      </c>
      <c r="H168" s="160"/>
      <c r="I168" s="141"/>
      <c r="J168" s="144">
        <f>G168/$E$165</f>
        <v>0.003115836713704584</v>
      </c>
      <c r="K168" s="141"/>
    </row>
    <row r="169" spans="1:11" ht="12.75">
      <c r="A169" s="140" t="s">
        <v>48</v>
      </c>
      <c r="E169" s="141">
        <f>'FY 09 State Allotments'!D54</f>
        <v>74602937</v>
      </c>
      <c r="G169" s="136"/>
      <c r="H169" s="141">
        <f>SUM(G170:G190)</f>
        <v>3035325</v>
      </c>
      <c r="I169" s="141">
        <f>E169-H169</f>
        <v>71567612</v>
      </c>
      <c r="K169" s="141"/>
    </row>
    <row r="170" spans="1:11" ht="12.75">
      <c r="A170" s="135" t="s">
        <v>281</v>
      </c>
      <c r="B170" s="141"/>
      <c r="D170" s="142" t="s">
        <v>147</v>
      </c>
      <c r="E170" s="141"/>
      <c r="F170" s="146">
        <v>0.00847</v>
      </c>
      <c r="G170" s="183">
        <f>ROUND($E$169*F170,0)</f>
        <v>631887</v>
      </c>
      <c r="H170" s="141"/>
      <c r="J170" s="144">
        <f aca="true" t="shared" si="23" ref="J170:J190">G170/$E$169</f>
        <v>0.008470001656905276</v>
      </c>
      <c r="K170" s="141"/>
    </row>
    <row r="171" spans="1:11" ht="12.75">
      <c r="A171" s="135" t="s">
        <v>282</v>
      </c>
      <c r="B171" s="141"/>
      <c r="D171" s="142" t="s">
        <v>196</v>
      </c>
      <c r="E171" s="141"/>
      <c r="F171" s="146"/>
      <c r="G171" s="183">
        <v>8460</v>
      </c>
      <c r="H171" s="141"/>
      <c r="J171" s="144">
        <f t="shared" si="23"/>
        <v>0.00011340036116808645</v>
      </c>
      <c r="K171" s="141"/>
    </row>
    <row r="172" spans="1:11" ht="12.75">
      <c r="A172" s="135" t="s">
        <v>283</v>
      </c>
      <c r="B172" s="141"/>
      <c r="D172" s="142" t="s">
        <v>147</v>
      </c>
      <c r="E172" s="141"/>
      <c r="F172" s="146">
        <v>0.000247</v>
      </c>
      <c r="G172" s="183">
        <f aca="true" t="shared" si="24" ref="G172:G190">ROUND($E$169*F172,0)</f>
        <v>18427</v>
      </c>
      <c r="H172" s="141"/>
      <c r="J172" s="144">
        <f t="shared" si="23"/>
        <v>0.00024700099943786394</v>
      </c>
      <c r="K172" s="141"/>
    </row>
    <row r="173" spans="1:11" ht="12.75">
      <c r="A173" s="135" t="s">
        <v>284</v>
      </c>
      <c r="B173" s="141"/>
      <c r="D173" s="142" t="s">
        <v>147</v>
      </c>
      <c r="E173" s="141"/>
      <c r="F173" s="146">
        <v>0.000247</v>
      </c>
      <c r="G173" s="183">
        <f t="shared" si="24"/>
        <v>18427</v>
      </c>
      <c r="H173" s="141"/>
      <c r="J173" s="144">
        <f t="shared" si="23"/>
        <v>0.00024700099943786394</v>
      </c>
      <c r="K173" s="141"/>
    </row>
    <row r="174" spans="1:11" ht="12.75">
      <c r="A174" s="135" t="s">
        <v>285</v>
      </c>
      <c r="B174" s="141"/>
      <c r="D174" s="142" t="s">
        <v>147</v>
      </c>
      <c r="E174" s="141"/>
      <c r="F174" s="146">
        <v>0.000604</v>
      </c>
      <c r="G174" s="183">
        <f t="shared" si="24"/>
        <v>45060</v>
      </c>
      <c r="H174" s="141"/>
      <c r="J174" s="144">
        <f t="shared" si="23"/>
        <v>0.0006039976683491697</v>
      </c>
      <c r="K174" s="141"/>
    </row>
    <row r="175" spans="1:11" ht="12.75">
      <c r="A175" s="135" t="s">
        <v>286</v>
      </c>
      <c r="B175" s="141"/>
      <c r="D175" s="142" t="s">
        <v>147</v>
      </c>
      <c r="E175" s="141"/>
      <c r="F175" s="146">
        <v>0.002499</v>
      </c>
      <c r="G175" s="183">
        <f t="shared" si="24"/>
        <v>186433</v>
      </c>
      <c r="H175" s="141"/>
      <c r="J175" s="144">
        <f t="shared" si="23"/>
        <v>0.0024990034909751608</v>
      </c>
      <c r="K175" s="141"/>
    </row>
    <row r="176" spans="1:11" ht="12.75">
      <c r="A176" s="135" t="s">
        <v>287</v>
      </c>
      <c r="B176" s="141"/>
      <c r="D176" s="142" t="s">
        <v>147</v>
      </c>
      <c r="E176" s="141"/>
      <c r="F176" s="146">
        <v>0.001949</v>
      </c>
      <c r="G176" s="183">
        <f t="shared" si="24"/>
        <v>145401</v>
      </c>
      <c r="H176" s="141"/>
      <c r="J176" s="144">
        <f t="shared" si="23"/>
        <v>0.0019489983350119311</v>
      </c>
      <c r="K176" s="141"/>
    </row>
    <row r="177" spans="1:11" ht="12.75">
      <c r="A177" s="135" t="s">
        <v>288</v>
      </c>
      <c r="B177" s="141"/>
      <c r="D177" s="142" t="s">
        <v>147</v>
      </c>
      <c r="E177" s="141"/>
      <c r="F177" s="146">
        <v>0.000892</v>
      </c>
      <c r="G177" s="183">
        <f t="shared" si="24"/>
        <v>66546</v>
      </c>
      <c r="H177" s="141"/>
      <c r="J177" s="144">
        <f t="shared" si="23"/>
        <v>0.0008920024154008843</v>
      </c>
      <c r="K177" s="141"/>
    </row>
    <row r="178" spans="1:11" ht="12.75">
      <c r="A178" s="135" t="s">
        <v>289</v>
      </c>
      <c r="B178" s="141"/>
      <c r="D178" s="142" t="s">
        <v>147</v>
      </c>
      <c r="E178" s="141"/>
      <c r="F178" s="146">
        <v>0.000686</v>
      </c>
      <c r="G178" s="183">
        <f t="shared" si="24"/>
        <v>51178</v>
      </c>
      <c r="H178" s="141"/>
      <c r="J178" s="144">
        <f t="shared" si="23"/>
        <v>0.000686005163576871</v>
      </c>
      <c r="K178" s="141"/>
    </row>
    <row r="179" spans="1:11" ht="12.75">
      <c r="A179" s="135" t="s">
        <v>290</v>
      </c>
      <c r="B179" s="141"/>
      <c r="D179" s="142" t="s">
        <v>147</v>
      </c>
      <c r="E179" s="141"/>
      <c r="F179" s="146">
        <v>0.000412</v>
      </c>
      <c r="G179" s="183">
        <f t="shared" si="24"/>
        <v>30736</v>
      </c>
      <c r="H179" s="141"/>
      <c r="J179" s="144">
        <f t="shared" si="23"/>
        <v>0.0004119945036480266</v>
      </c>
      <c r="K179" s="141"/>
    </row>
    <row r="180" spans="1:11" ht="12.75">
      <c r="A180" s="135" t="s">
        <v>291</v>
      </c>
      <c r="B180" s="141"/>
      <c r="D180" s="142" t="s">
        <v>147</v>
      </c>
      <c r="E180" s="141"/>
      <c r="F180" s="146">
        <v>0.002787</v>
      </c>
      <c r="G180" s="183">
        <f t="shared" si="24"/>
        <v>207918</v>
      </c>
      <c r="H180" s="141"/>
      <c r="J180" s="144">
        <f t="shared" si="23"/>
        <v>0.002786994833728865</v>
      </c>
      <c r="K180" s="141"/>
    </row>
    <row r="181" spans="1:11" ht="12.75">
      <c r="A181" s="135" t="s">
        <v>292</v>
      </c>
      <c r="B181" s="141"/>
      <c r="D181" s="142" t="s">
        <v>147</v>
      </c>
      <c r="E181" s="141"/>
      <c r="F181" s="146">
        <v>0.000796</v>
      </c>
      <c r="G181" s="183">
        <f t="shared" si="24"/>
        <v>59384</v>
      </c>
      <c r="H181" s="141"/>
      <c r="J181" s="144">
        <f t="shared" si="23"/>
        <v>0.0007960008330503127</v>
      </c>
      <c r="K181" s="141"/>
    </row>
    <row r="182" spans="1:11" ht="12.75">
      <c r="A182" s="135" t="s">
        <v>293</v>
      </c>
      <c r="B182" s="141"/>
      <c r="D182" s="142" t="s">
        <v>147</v>
      </c>
      <c r="E182" s="141"/>
      <c r="F182" s="146">
        <v>0.002169</v>
      </c>
      <c r="G182" s="183">
        <f t="shared" si="24"/>
        <v>161814</v>
      </c>
      <c r="H182" s="141"/>
      <c r="J182" s="144">
        <f t="shared" si="23"/>
        <v>0.002169003078256825</v>
      </c>
      <c r="K182" s="141"/>
    </row>
    <row r="183" spans="1:11" ht="12.75">
      <c r="A183" s="135" t="s">
        <v>294</v>
      </c>
      <c r="B183" s="141"/>
      <c r="D183" s="142" t="s">
        <v>147</v>
      </c>
      <c r="E183" s="141"/>
      <c r="F183" s="146">
        <v>0.000823</v>
      </c>
      <c r="G183" s="183">
        <f t="shared" si="24"/>
        <v>61398</v>
      </c>
      <c r="H183" s="141"/>
      <c r="J183" s="144">
        <f t="shared" si="23"/>
        <v>0.0008229970892432827</v>
      </c>
      <c r="K183" s="141"/>
    </row>
    <row r="184" spans="1:11" ht="12.75">
      <c r="A184" s="135" t="s">
        <v>295</v>
      </c>
      <c r="B184" s="141"/>
      <c r="D184" s="142" t="s">
        <v>147</v>
      </c>
      <c r="E184" s="141"/>
      <c r="F184" s="146">
        <v>0.001317</v>
      </c>
      <c r="G184" s="183">
        <f t="shared" si="24"/>
        <v>98252</v>
      </c>
      <c r="H184" s="141"/>
      <c r="J184" s="144">
        <f t="shared" si="23"/>
        <v>0.0013169990881190107</v>
      </c>
      <c r="K184" s="141"/>
    </row>
    <row r="185" spans="1:11" ht="12.75">
      <c r="A185" s="135" t="s">
        <v>296</v>
      </c>
      <c r="B185" s="141"/>
      <c r="D185" s="142" t="s">
        <v>147</v>
      </c>
      <c r="E185" s="141"/>
      <c r="F185" s="146">
        <v>0.002782</v>
      </c>
      <c r="G185" s="183">
        <f t="shared" si="24"/>
        <v>207545</v>
      </c>
      <c r="H185" s="141"/>
      <c r="J185" s="144">
        <f t="shared" si="23"/>
        <v>0.0027819950305709813</v>
      </c>
      <c r="K185" s="141"/>
    </row>
    <row r="186" spans="1:11" ht="12.75">
      <c r="A186" s="135" t="s">
        <v>297</v>
      </c>
      <c r="B186" s="141"/>
      <c r="D186" s="142" t="s">
        <v>147</v>
      </c>
      <c r="E186" s="141"/>
      <c r="F186" s="146">
        <v>0.001744</v>
      </c>
      <c r="G186" s="183">
        <f t="shared" si="24"/>
        <v>130108</v>
      </c>
      <c r="H186" s="141"/>
      <c r="J186" s="144">
        <f t="shared" si="23"/>
        <v>0.0017440064055386987</v>
      </c>
      <c r="K186" s="141"/>
    </row>
    <row r="187" spans="1:11" ht="12.75">
      <c r="A187" s="148" t="s">
        <v>298</v>
      </c>
      <c r="B187" s="141"/>
      <c r="D187" s="142" t="s">
        <v>147</v>
      </c>
      <c r="E187" s="141"/>
      <c r="F187" s="146">
        <v>0.000247</v>
      </c>
      <c r="G187" s="183">
        <f t="shared" si="24"/>
        <v>18427</v>
      </c>
      <c r="H187" s="141"/>
      <c r="J187" s="144">
        <f t="shared" si="23"/>
        <v>0.00024700099943786394</v>
      </c>
      <c r="K187" s="141"/>
    </row>
    <row r="188" spans="1:11" ht="12.75">
      <c r="A188" s="135" t="s">
        <v>299</v>
      </c>
      <c r="B188" s="141"/>
      <c r="D188" s="142" t="s">
        <v>147</v>
      </c>
      <c r="E188" s="141"/>
      <c r="F188" s="146">
        <v>0.001057</v>
      </c>
      <c r="G188" s="183">
        <f t="shared" si="24"/>
        <v>78855</v>
      </c>
      <c r="H188" s="141"/>
      <c r="J188" s="144">
        <f t="shared" si="23"/>
        <v>0.0010569959196110468</v>
      </c>
      <c r="K188" s="141"/>
    </row>
    <row r="189" spans="1:11" ht="12.75">
      <c r="A189" s="135" t="s">
        <v>300</v>
      </c>
      <c r="B189" s="141"/>
      <c r="D189" s="142" t="s">
        <v>147</v>
      </c>
      <c r="E189" s="141"/>
      <c r="F189" s="161">
        <v>0.001867</v>
      </c>
      <c r="G189" s="183">
        <f t="shared" si="24"/>
        <v>139284</v>
      </c>
      <c r="H189" s="141"/>
      <c r="J189" s="144">
        <f t="shared" si="23"/>
        <v>0.0018670042440822403</v>
      </c>
      <c r="K189" s="141"/>
    </row>
    <row r="190" spans="1:11" ht="12.75">
      <c r="A190" s="135" t="s">
        <v>301</v>
      </c>
      <c r="B190" s="141"/>
      <c r="D190" s="142" t="s">
        <v>147</v>
      </c>
      <c r="E190" s="141"/>
      <c r="F190" s="146">
        <v>0.008978</v>
      </c>
      <c r="G190" s="183">
        <f t="shared" si="24"/>
        <v>669785</v>
      </c>
      <c r="H190" s="141"/>
      <c r="J190" s="144">
        <f t="shared" si="23"/>
        <v>0.008977997742903875</v>
      </c>
      <c r="K190" s="141"/>
    </row>
    <row r="191" spans="1:11" ht="12.75">
      <c r="A191" s="140" t="s">
        <v>51</v>
      </c>
      <c r="B191" s="141"/>
      <c r="D191" s="142"/>
      <c r="E191" s="141">
        <f>'FY 09 State Allotments'!D57</f>
        <v>12849776</v>
      </c>
      <c r="F191" s="146"/>
      <c r="G191" s="183"/>
      <c r="H191" s="152">
        <f>G192</f>
        <v>210000</v>
      </c>
      <c r="I191" s="141">
        <f>E191-H191</f>
        <v>12639776</v>
      </c>
      <c r="K191" s="141"/>
    </row>
    <row r="192" spans="1:11" ht="13.5" thickBot="1">
      <c r="A192" s="135" t="s">
        <v>302</v>
      </c>
      <c r="B192" s="141"/>
      <c r="D192" s="142" t="s">
        <v>196</v>
      </c>
      <c r="E192" s="141"/>
      <c r="F192" s="146">
        <v>0.0146</v>
      </c>
      <c r="G192" s="183">
        <v>210000</v>
      </c>
      <c r="H192" s="141"/>
      <c r="J192" s="144">
        <f>G192/$E$191</f>
        <v>0.016342697335735658</v>
      </c>
      <c r="K192" s="141"/>
    </row>
    <row r="193" spans="1:10" ht="13.5" thickTop="1">
      <c r="A193" s="162" t="s">
        <v>303</v>
      </c>
      <c r="B193" s="163"/>
      <c r="C193" s="163"/>
      <c r="D193" s="163"/>
      <c r="E193" s="164">
        <f>SUM(E12:E192)</f>
        <v>2084938538</v>
      </c>
      <c r="F193" s="163"/>
      <c r="G193" s="184">
        <f>SUM(G12:G192)</f>
        <v>47403391</v>
      </c>
      <c r="H193" s="164">
        <f>SUM(H12:H192)</f>
        <v>47403391</v>
      </c>
      <c r="I193" s="164">
        <f>SUM(I12:I192)</f>
        <v>2037535147</v>
      </c>
      <c r="J193" s="164"/>
    </row>
    <row r="194" spans="1:10" ht="12.75">
      <c r="A194" s="165"/>
      <c r="B194" s="139"/>
      <c r="C194" s="139"/>
      <c r="D194" s="139"/>
      <c r="E194" s="166"/>
      <c r="F194" s="139"/>
      <c r="G194" s="166"/>
      <c r="H194" s="166"/>
      <c r="I194" s="166"/>
      <c r="J194" s="166"/>
    </row>
    <row r="195" spans="1:10" ht="12.75">
      <c r="A195" s="167" t="s">
        <v>304</v>
      </c>
      <c r="B195" s="139"/>
      <c r="C195" s="139"/>
      <c r="D195" s="139"/>
      <c r="E195" s="166"/>
      <c r="F195" s="139"/>
      <c r="G195" s="166"/>
      <c r="H195" s="166"/>
      <c r="I195" s="166"/>
      <c r="J195" s="166"/>
    </row>
    <row r="196" spans="1:10" ht="25.5">
      <c r="A196" s="168" t="s">
        <v>305</v>
      </c>
      <c r="B196" s="168" t="s">
        <v>52</v>
      </c>
      <c r="C196" s="169" t="s">
        <v>306</v>
      </c>
      <c r="D196" s="139"/>
      <c r="E196" s="166"/>
      <c r="F196" s="139"/>
      <c r="G196" s="166"/>
      <c r="H196" s="166"/>
      <c r="I196" s="166"/>
      <c r="J196" s="166"/>
    </row>
    <row r="197" spans="1:10" ht="12.75">
      <c r="A197" s="140" t="s">
        <v>307</v>
      </c>
      <c r="B197" s="170">
        <f>SUM(B198:B199)</f>
        <v>167972</v>
      </c>
      <c r="C197" s="171" t="s">
        <v>1</v>
      </c>
      <c r="D197" s="172"/>
      <c r="E197" s="135"/>
      <c r="F197" s="173"/>
      <c r="H197" s="166"/>
      <c r="I197" s="166"/>
      <c r="J197" s="166"/>
    </row>
    <row r="198" spans="1:10" ht="12.75">
      <c r="A198" s="174" t="s">
        <v>308</v>
      </c>
      <c r="B198" s="175">
        <f>Poarch_AL</f>
        <v>143610</v>
      </c>
      <c r="C198" s="173"/>
      <c r="D198" s="172"/>
      <c r="E198" s="135"/>
      <c r="F198" s="173"/>
      <c r="G198" s="173"/>
      <c r="H198" s="166"/>
      <c r="I198" s="166"/>
      <c r="J198" s="166"/>
    </row>
    <row r="199" spans="1:10" ht="12.75">
      <c r="A199" s="174" t="s">
        <v>309</v>
      </c>
      <c r="B199" s="175">
        <f>Poarch_FL</f>
        <v>24362</v>
      </c>
      <c r="C199" s="173"/>
      <c r="D199" s="172"/>
      <c r="E199" s="135"/>
      <c r="F199" s="173"/>
      <c r="G199" s="173"/>
      <c r="H199" s="166"/>
      <c r="I199" s="166"/>
      <c r="J199" s="166"/>
    </row>
    <row r="200" spans="1:10" ht="12.75">
      <c r="A200" s="140" t="s">
        <v>310</v>
      </c>
      <c r="B200" s="170">
        <f>SUM(B201:B202)</f>
        <v>60764</v>
      </c>
      <c r="C200" s="171" t="s">
        <v>3</v>
      </c>
      <c r="D200" s="172"/>
      <c r="E200" s="135"/>
      <c r="F200" s="173"/>
      <c r="H200" s="166"/>
      <c r="I200" s="166"/>
      <c r="J200" s="166"/>
    </row>
    <row r="201" spans="1:10" ht="12.75">
      <c r="A201" s="174" t="s">
        <v>311</v>
      </c>
      <c r="B201" s="175">
        <f>Colorado_River_AZ</f>
        <v>57498</v>
      </c>
      <c r="C201" s="173"/>
      <c r="D201" s="172"/>
      <c r="E201" s="135"/>
      <c r="F201" s="173"/>
      <c r="G201" s="173"/>
      <c r="H201" s="166"/>
      <c r="I201" s="166"/>
      <c r="J201" s="166"/>
    </row>
    <row r="202" spans="1:10" ht="12.75">
      <c r="A202" s="174" t="s">
        <v>312</v>
      </c>
      <c r="B202" s="175">
        <f>Colorado_River_CA</f>
        <v>3266</v>
      </c>
      <c r="C202" s="173"/>
      <c r="D202" s="172"/>
      <c r="E202" s="135"/>
      <c r="F202" s="173"/>
      <c r="G202" s="173"/>
      <c r="H202" s="166"/>
      <c r="I202" s="166"/>
      <c r="J202" s="166"/>
    </row>
    <row r="203" spans="1:10" ht="12.75">
      <c r="A203" s="140" t="s">
        <v>313</v>
      </c>
      <c r="B203" s="170">
        <f>SUM(B204:B206)</f>
        <v>3536288</v>
      </c>
      <c r="C203" s="171" t="s">
        <v>3</v>
      </c>
      <c r="D203" s="172"/>
      <c r="E203" s="135"/>
      <c r="F203" s="173"/>
      <c r="G203" s="173"/>
      <c r="H203" s="166"/>
      <c r="I203" s="166"/>
      <c r="J203" s="166"/>
    </row>
    <row r="204" spans="1:10" ht="12.75">
      <c r="A204" s="174" t="s">
        <v>314</v>
      </c>
      <c r="B204" s="175">
        <f>Navajo_AZ</f>
        <v>1650881</v>
      </c>
      <c r="C204" s="173"/>
      <c r="H204" s="166"/>
      <c r="I204" s="166"/>
      <c r="J204" s="166"/>
    </row>
    <row r="205" spans="1:10" ht="12.75">
      <c r="A205" s="174" t="s">
        <v>315</v>
      </c>
      <c r="B205" s="175">
        <f>Navajo_NM</f>
        <v>1596837</v>
      </c>
      <c r="C205" s="173"/>
      <c r="H205" s="166"/>
      <c r="I205" s="166"/>
      <c r="J205" s="166"/>
    </row>
    <row r="206" spans="1:3" ht="12.75">
      <c r="A206" s="174" t="s">
        <v>316</v>
      </c>
      <c r="B206" s="175">
        <f>Navajo_UT</f>
        <v>288570</v>
      </c>
      <c r="C206" s="173"/>
    </row>
    <row r="207" spans="1:6" ht="12.75">
      <c r="A207" s="140" t="s">
        <v>317</v>
      </c>
      <c r="B207" s="170">
        <f>SUM(B208:B209)</f>
        <v>55267</v>
      </c>
      <c r="C207" s="171" t="s">
        <v>3</v>
      </c>
      <c r="D207" s="172"/>
      <c r="E207" s="135"/>
      <c r="F207" s="173"/>
    </row>
    <row r="208" spans="1:7" ht="12.75">
      <c r="A208" s="174" t="s">
        <v>318</v>
      </c>
      <c r="B208" s="175">
        <f>Quechan_AZ</f>
        <v>4228</v>
      </c>
      <c r="C208" s="173"/>
      <c r="D208" s="172"/>
      <c r="E208" s="135"/>
      <c r="F208" s="173"/>
      <c r="G208" s="173"/>
    </row>
    <row r="209" spans="1:7" ht="12.75">
      <c r="A209" s="174" t="s">
        <v>319</v>
      </c>
      <c r="B209" s="175">
        <f>Quechan_CA</f>
        <v>51039</v>
      </c>
      <c r="C209" s="173"/>
      <c r="D209" s="172"/>
      <c r="E209" s="135"/>
      <c r="F209" s="173"/>
      <c r="G209" s="173"/>
    </row>
    <row r="210" spans="1:6" ht="25.5">
      <c r="A210" s="176" t="s">
        <v>320</v>
      </c>
      <c r="B210" s="170">
        <f>SUM(B211:B212)</f>
        <v>799638</v>
      </c>
      <c r="C210" s="171" t="s">
        <v>5</v>
      </c>
      <c r="D210" s="172"/>
      <c r="E210" s="135"/>
      <c r="F210" s="173"/>
    </row>
    <row r="211" spans="1:7" ht="12.75">
      <c r="A211" s="174" t="s">
        <v>321</v>
      </c>
      <c r="B211" s="175">
        <f>NCIDC_AZ</f>
        <v>12007</v>
      </c>
      <c r="C211" s="173"/>
      <c r="D211" s="172"/>
      <c r="E211" s="135"/>
      <c r="F211" s="173"/>
      <c r="G211" s="173"/>
    </row>
    <row r="212" spans="1:6" ht="25.5">
      <c r="A212" s="174" t="s">
        <v>322</v>
      </c>
      <c r="B212" s="175">
        <f>NCIDC_CA</f>
        <v>787631</v>
      </c>
      <c r="C212" s="173"/>
      <c r="D212" s="172"/>
      <c r="E212" s="135"/>
      <c r="F212" s="173"/>
    </row>
    <row r="213" spans="1:7" ht="12.75">
      <c r="A213" s="140" t="s">
        <v>323</v>
      </c>
      <c r="B213" s="170">
        <f>SUM(B214:B215)</f>
        <v>56400</v>
      </c>
      <c r="C213" s="171" t="s">
        <v>17</v>
      </c>
      <c r="D213" s="172"/>
      <c r="E213" s="135"/>
      <c r="F213" s="173"/>
      <c r="G213" s="173"/>
    </row>
    <row r="214" spans="1:7" ht="25.5">
      <c r="A214" s="174" t="s">
        <v>324</v>
      </c>
      <c r="B214" s="175">
        <f>United_Tribes_KS</f>
        <v>41400</v>
      </c>
      <c r="C214" s="173"/>
      <c r="D214" s="172"/>
      <c r="E214" s="135"/>
      <c r="F214" s="173"/>
      <c r="G214" s="173"/>
    </row>
    <row r="215" spans="1:6" ht="12.75">
      <c r="A215" s="174" t="s">
        <v>325</v>
      </c>
      <c r="B215" s="175">
        <f>United_Tribes_NE</f>
        <v>15000</v>
      </c>
      <c r="C215" s="173"/>
      <c r="D215" s="172"/>
      <c r="E215" s="135"/>
      <c r="F215" s="173"/>
    </row>
    <row r="216" spans="1:7" ht="12.75">
      <c r="A216" s="140" t="s">
        <v>326</v>
      </c>
      <c r="B216" s="170">
        <f>SUM(B217:B218)</f>
        <v>150801</v>
      </c>
      <c r="C216" s="171" t="s">
        <v>23</v>
      </c>
      <c r="D216" s="172"/>
      <c r="E216" s="135"/>
      <c r="F216" s="173"/>
      <c r="G216" s="173"/>
    </row>
    <row r="217" spans="1:7" ht="12.75">
      <c r="A217" s="174" t="s">
        <v>327</v>
      </c>
      <c r="B217" s="175">
        <f>Pokagon_IA</f>
        <v>6664</v>
      </c>
      <c r="C217" s="173"/>
      <c r="D217" s="172"/>
      <c r="E217" s="135"/>
      <c r="F217" s="173"/>
      <c r="G217" s="173"/>
    </row>
    <row r="218" spans="1:6" ht="12.75">
      <c r="A218" s="174" t="s">
        <v>328</v>
      </c>
      <c r="B218" s="175">
        <f>Pokagon_MI</f>
        <v>144137</v>
      </c>
      <c r="C218" s="173"/>
      <c r="D218" s="172"/>
      <c r="E218" s="135"/>
      <c r="F218" s="173"/>
    </row>
    <row r="219" spans="1:7" ht="12.75">
      <c r="A219" s="140" t="s">
        <v>329</v>
      </c>
      <c r="B219" s="170">
        <f>SUM(B220:B221)</f>
        <v>1675804</v>
      </c>
      <c r="C219" s="171" t="s">
        <v>35</v>
      </c>
      <c r="D219" s="172"/>
      <c r="E219" s="135"/>
      <c r="F219" s="173"/>
      <c r="G219" s="173"/>
    </row>
    <row r="220" spans="1:7" ht="12.75">
      <c r="A220" s="174" t="s">
        <v>330</v>
      </c>
      <c r="B220" s="175">
        <f>Standing_Rock_ND</f>
        <v>1352417</v>
      </c>
      <c r="C220" s="173"/>
      <c r="D220" s="172"/>
      <c r="E220" s="135"/>
      <c r="F220" s="173"/>
      <c r="G220" s="173"/>
    </row>
    <row r="221" spans="1:3" ht="12.75">
      <c r="A221" s="174" t="s">
        <v>331</v>
      </c>
      <c r="B221" s="175">
        <f>Standing_Rock_SD</f>
        <v>323387</v>
      </c>
      <c r="C221" s="173"/>
    </row>
    <row r="222" spans="2:3" ht="12.75">
      <c r="B222" s="135"/>
      <c r="C222" s="173"/>
    </row>
    <row r="223" ht="12.75">
      <c r="A223" s="95"/>
    </row>
    <row r="435" spans="5:9" ht="12.75">
      <c r="E435" s="177"/>
      <c r="I435" s="177"/>
    </row>
    <row r="438" ht="12.75">
      <c r="E438" s="177"/>
    </row>
    <row r="439" ht="12.75">
      <c r="E439" s="177"/>
    </row>
    <row r="440" ht="12.75">
      <c r="E440" s="177"/>
    </row>
    <row r="441" ht="12.75">
      <c r="E441" s="177"/>
    </row>
    <row r="442" ht="12.75">
      <c r="E442" s="177"/>
    </row>
    <row r="443" ht="12.75">
      <c r="E443" s="177"/>
    </row>
    <row r="444" ht="12.75">
      <c r="E444" s="177"/>
    </row>
    <row r="445" ht="12.75">
      <c r="E445" s="177"/>
    </row>
    <row r="446" ht="12.75">
      <c r="E446" s="177"/>
    </row>
    <row r="447" ht="12.75">
      <c r="E447" s="177"/>
    </row>
    <row r="448" ht="12.75">
      <c r="E448" s="177"/>
    </row>
    <row r="449" ht="12.75">
      <c r="E449" s="177"/>
    </row>
    <row r="450" ht="12.75">
      <c r="E450" s="177"/>
    </row>
    <row r="451" ht="12.75">
      <c r="E451" s="177"/>
    </row>
    <row r="452" ht="12.75">
      <c r="E452" s="177"/>
    </row>
    <row r="453" ht="12.75">
      <c r="E453" s="177"/>
    </row>
    <row r="454" ht="12.75">
      <c r="E454" s="177"/>
    </row>
    <row r="455" ht="12.75">
      <c r="E455" s="177"/>
    </row>
    <row r="456" ht="12.75">
      <c r="E456" s="177"/>
    </row>
    <row r="457" ht="12.75">
      <c r="E457" s="177"/>
    </row>
    <row r="458" ht="12.75">
      <c r="E458" s="177"/>
    </row>
    <row r="459" ht="12.75">
      <c r="E459" s="177"/>
    </row>
    <row r="460" ht="12.75">
      <c r="E460" s="177"/>
    </row>
    <row r="461" ht="12.75">
      <c r="E461" s="177"/>
    </row>
    <row r="462" ht="12.75">
      <c r="E462" s="177"/>
    </row>
    <row r="463" ht="12.75">
      <c r="E463" s="177"/>
    </row>
    <row r="464" ht="12.75">
      <c r="E464" s="177"/>
    </row>
    <row r="465" ht="12.75">
      <c r="E465" s="177"/>
    </row>
    <row r="466" ht="12.75">
      <c r="E466" s="177"/>
    </row>
    <row r="467" ht="12.75">
      <c r="E467" s="177"/>
    </row>
    <row r="468" ht="12.75">
      <c r="E468" s="177"/>
    </row>
    <row r="469" ht="12.75">
      <c r="E469" s="177"/>
    </row>
    <row r="470" ht="12.75">
      <c r="E470" s="177"/>
    </row>
    <row r="471" ht="12.75">
      <c r="E471" s="177"/>
    </row>
    <row r="472" ht="12.75">
      <c r="E472" s="177"/>
    </row>
    <row r="473" ht="12.75">
      <c r="E473" s="177"/>
    </row>
    <row r="474" ht="12.75">
      <c r="E474" s="177"/>
    </row>
    <row r="475" ht="12.75">
      <c r="E475" s="177"/>
    </row>
    <row r="476" ht="12.75">
      <c r="E476" s="177"/>
    </row>
    <row r="477" ht="12.75">
      <c r="E477" s="177"/>
    </row>
    <row r="478" ht="12.75">
      <c r="E478" s="177"/>
    </row>
    <row r="479" ht="12.75">
      <c r="E479" s="177"/>
    </row>
    <row r="480" ht="12.75">
      <c r="E480" s="177"/>
    </row>
    <row r="481" ht="12.75">
      <c r="E481" s="177"/>
    </row>
    <row r="482" ht="12.75">
      <c r="E482" s="177"/>
    </row>
    <row r="483" ht="12.75">
      <c r="E483" s="177"/>
    </row>
    <row r="484" ht="12.75">
      <c r="E484" s="177"/>
    </row>
    <row r="485" ht="12.75">
      <c r="E485" s="177"/>
    </row>
    <row r="486" ht="12.75">
      <c r="E486" s="177"/>
    </row>
    <row r="487" ht="12.75">
      <c r="E487" s="177"/>
    </row>
    <row r="488" ht="12.75">
      <c r="E488" s="177"/>
    </row>
    <row r="489" spans="5:7" ht="12.75">
      <c r="E489" s="177"/>
      <c r="G489" s="141"/>
    </row>
    <row r="490" ht="12.75">
      <c r="E490" s="177"/>
    </row>
    <row r="492" spans="5:10" ht="12.75">
      <c r="E492" s="141"/>
      <c r="H492" s="141"/>
      <c r="I492" s="141"/>
      <c r="J492" s="141"/>
    </row>
    <row r="494" ht="12.75">
      <c r="I494" s="141"/>
    </row>
    <row r="495" ht="12.75">
      <c r="E495" s="141"/>
    </row>
    <row r="496" spans="5:9" ht="12.75">
      <c r="E496" s="141"/>
      <c r="I496" s="141"/>
    </row>
    <row r="497" spans="5:9" ht="12.75">
      <c r="E497" s="141"/>
      <c r="I497" s="141"/>
    </row>
    <row r="498" spans="5:9" ht="12.75">
      <c r="E498" s="141"/>
      <c r="I498" s="141"/>
    </row>
    <row r="499" spans="5:9" ht="12.75">
      <c r="E499" s="141"/>
      <c r="I499" s="141"/>
    </row>
    <row r="500" spans="5:9" ht="12.75">
      <c r="E500" s="141"/>
      <c r="I500" s="141"/>
    </row>
    <row r="501" spans="5:9" ht="12.75">
      <c r="E501" s="141"/>
      <c r="I501" s="141"/>
    </row>
    <row r="502" ht="12.75">
      <c r="I502" s="141"/>
    </row>
    <row r="503" ht="12.75">
      <c r="I503" s="141"/>
    </row>
  </sheetData>
  <mergeCells count="1">
    <mergeCell ref="A1:I1"/>
  </mergeCells>
  <printOptions gridLines="1" horizontalCentered="1"/>
  <pageMargins left="0.25" right="0.25" top="0.5" bottom="0.7" header="0.5" footer="0.5"/>
  <pageSetup horizontalDpi="600" verticalDpi="600" orientation="landscape" scale="60" r:id="rId1"/>
  <headerFooter alignWithMargins="0">
    <oddFooter>&amp;R&amp;"Arial,Regular"Page &amp;P of &amp;N</oddFooter>
  </headerFooter>
  <rowBreaks count="3" manualBreakCount="3">
    <brk id="60" max="255" man="1"/>
    <brk id="114" max="255" man="1"/>
    <brk id="1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E85"/>
  <sheetViews>
    <sheetView zoomScale="130" zoomScaleNormal="130" workbookViewId="0" topLeftCell="A1">
      <pane xSplit="1" ySplit="8" topLeftCell="B9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2" sqref="A2"/>
    </sheetView>
  </sheetViews>
  <sheetFormatPr defaultColWidth="9.33203125" defaultRowHeight="12.75"/>
  <cols>
    <col min="1" max="1" width="45.33203125" style="2" bestFit="1" customWidth="1"/>
    <col min="2" max="2" width="31" style="2" customWidth="1"/>
    <col min="3" max="3" width="31.33203125" style="2" customWidth="1"/>
    <col min="4" max="4" width="29.66015625" style="2" bestFit="1" customWidth="1"/>
    <col min="5" max="5" width="16.83203125" style="2" bestFit="1" customWidth="1"/>
    <col min="6" max="7" width="10.5" style="2" bestFit="1" customWidth="1"/>
    <col min="8" max="16384" width="9.33203125" style="2" customWidth="1"/>
  </cols>
  <sheetData>
    <row r="1" spans="1:4" ht="12.75">
      <c r="A1" s="193" t="s">
        <v>102</v>
      </c>
      <c r="B1" s="194"/>
      <c r="C1" s="194"/>
      <c r="D1" s="194"/>
    </row>
    <row r="2" ht="12.75">
      <c r="B2" s="4"/>
    </row>
    <row r="3" spans="1:2" ht="12.75">
      <c r="A3" s="6" t="s">
        <v>58</v>
      </c>
      <c r="B3" s="4"/>
    </row>
    <row r="4" ht="12.75">
      <c r="B4" s="4"/>
    </row>
    <row r="5" spans="1:2" ht="12.75">
      <c r="A5" s="7">
        <v>39737</v>
      </c>
      <c r="B5" s="4"/>
    </row>
    <row r="6" spans="1:4" ht="12.75">
      <c r="A6" s="7"/>
      <c r="B6" s="191" t="s">
        <v>103</v>
      </c>
      <c r="C6" s="192"/>
      <c r="D6" s="192"/>
    </row>
    <row r="7" spans="2:4" ht="12.75">
      <c r="B7" s="29" t="str">
        <f>"Block Grant ("&amp;TEXT('FY09_$3.67B_OldFormula'!B2/1000000000,"$0.00")&amp;" Billion)"</f>
        <v>Block Grant ($3.67 Billion)</v>
      </c>
      <c r="C7" s="27" t="str">
        <f>"Block Grant ("&amp;TEXT('FY09_$840M_NewFormula'!$P$2/1000000,"$0")&amp;" Million)"</f>
        <v>Block Grant ($840 Million)</v>
      </c>
      <c r="D7" s="28" t="str">
        <f>"Total ("&amp;TEXT(('FY09_$3.67B_OldFormula'!B2+'FY09_$840M_NewFormula'!P2)/1000000000,"$0.00")&amp;" Billion)"</f>
        <v>Total ($4.51 Billion)</v>
      </c>
    </row>
    <row r="8" spans="1:4" ht="38.25">
      <c r="A8" s="8" t="s">
        <v>94</v>
      </c>
      <c r="B8" s="34" t="s">
        <v>104</v>
      </c>
      <c r="C8" s="3" t="s">
        <v>105</v>
      </c>
      <c r="D8" s="14" t="s">
        <v>108</v>
      </c>
    </row>
    <row r="9" spans="1:4" ht="12.75">
      <c r="A9" s="33" t="s">
        <v>95</v>
      </c>
      <c r="B9" s="30"/>
      <c r="D9" s="5"/>
    </row>
    <row r="10" spans="1:5" ht="12.75">
      <c r="A10" s="9" t="s">
        <v>1</v>
      </c>
      <c r="B10" s="31">
        <f>'FY09_$3.67B_OldFormula'!C8</f>
        <v>31285401</v>
      </c>
      <c r="C10" s="10">
        <f>'FY09_$840M_NewFormula'!P8</f>
        <v>28777267</v>
      </c>
      <c r="D10" s="15">
        <f>SUM(B10:C10)</f>
        <v>60062668</v>
      </c>
      <c r="E10" s="10"/>
    </row>
    <row r="11" spans="1:5" ht="12.75">
      <c r="A11" s="9" t="s">
        <v>2</v>
      </c>
      <c r="B11" s="31">
        <f>'FY09_$3.67B_OldFormula'!C9</f>
        <v>19970172</v>
      </c>
      <c r="C11" s="10">
        <f>'FY09_$840M_NewFormula'!P9</f>
        <v>3598289</v>
      </c>
      <c r="D11" s="15">
        <f aca="true" t="shared" si="0" ref="D11:D60">SUM(B11:C11)</f>
        <v>23568461</v>
      </c>
      <c r="E11" s="10"/>
    </row>
    <row r="12" spans="1:5" ht="12.75">
      <c r="A12" s="9" t="s">
        <v>3</v>
      </c>
      <c r="B12" s="31">
        <f>'FY09_$3.67B_OldFormula'!C10</f>
        <v>15129992</v>
      </c>
      <c r="C12" s="10">
        <f>'FY09_$840M_NewFormula'!P10</f>
        <v>13917029</v>
      </c>
      <c r="D12" s="15">
        <f t="shared" si="0"/>
        <v>29047021</v>
      </c>
      <c r="E12" s="10"/>
    </row>
    <row r="13" spans="1:5" ht="12.75">
      <c r="A13" s="9" t="s">
        <v>4</v>
      </c>
      <c r="B13" s="31">
        <f>'FY09_$3.67B_OldFormula'!C11</f>
        <v>23872240</v>
      </c>
      <c r="C13" s="10">
        <f>'FY09_$840M_NewFormula'!P11</f>
        <v>12625208</v>
      </c>
      <c r="D13" s="15">
        <f t="shared" si="0"/>
        <v>36497448</v>
      </c>
      <c r="E13" s="10"/>
    </row>
    <row r="14" spans="1:5" ht="12.75">
      <c r="A14" s="9" t="s">
        <v>5</v>
      </c>
      <c r="B14" s="31">
        <f>'FY09_$3.67B_OldFormula'!C12</f>
        <v>167837064</v>
      </c>
      <c r="C14" s="10">
        <f>'FY09_$840M_NewFormula'!P12</f>
        <v>58057069</v>
      </c>
      <c r="D14" s="15">
        <f t="shared" si="0"/>
        <v>225894133</v>
      </c>
      <c r="E14" s="10"/>
    </row>
    <row r="15" spans="1:5" ht="12.75">
      <c r="A15" s="9" t="s">
        <v>6</v>
      </c>
      <c r="B15" s="31">
        <f>'FY09_$3.67B_OldFormula'!C13</f>
        <v>58519554</v>
      </c>
      <c r="C15" s="10">
        <f>'FY09_$840M_NewFormula'!P13</f>
        <v>4954638</v>
      </c>
      <c r="D15" s="15">
        <f t="shared" si="0"/>
        <v>63474192</v>
      </c>
      <c r="E15" s="10"/>
    </row>
    <row r="16" spans="1:5" ht="12.75">
      <c r="A16" s="9" t="s">
        <v>7</v>
      </c>
      <c r="B16" s="31">
        <f>'FY09_$3.67B_OldFormula'!C14</f>
        <v>76340822</v>
      </c>
      <c r="C16" s="10">
        <f>'FY09_$840M_NewFormula'!P14</f>
        <v>19441818</v>
      </c>
      <c r="D16" s="15">
        <f t="shared" si="0"/>
        <v>95782640</v>
      </c>
      <c r="E16" s="10"/>
    </row>
    <row r="17" spans="1:5" ht="12.75">
      <c r="A17" s="9" t="s">
        <v>8</v>
      </c>
      <c r="B17" s="31">
        <f>'FY09_$3.67B_OldFormula'!C15</f>
        <v>10132775</v>
      </c>
      <c r="C17" s="10">
        <f>'FY09_$840M_NewFormula'!P15</f>
        <v>7251516</v>
      </c>
      <c r="D17" s="15">
        <f t="shared" si="0"/>
        <v>17384291</v>
      </c>
      <c r="E17" s="10"/>
    </row>
    <row r="18" spans="1:5" ht="12.75">
      <c r="A18" s="9" t="s">
        <v>9</v>
      </c>
      <c r="B18" s="31">
        <f>'FY09_$3.67B_OldFormula'!C16</f>
        <v>11855855</v>
      </c>
      <c r="C18" s="10">
        <f>'FY09_$840M_NewFormula'!P16</f>
        <v>2796929</v>
      </c>
      <c r="D18" s="15">
        <f t="shared" si="0"/>
        <v>14652784</v>
      </c>
      <c r="E18" s="10"/>
    </row>
    <row r="19" spans="1:5" ht="12.75">
      <c r="A19" s="9" t="s">
        <v>10</v>
      </c>
      <c r="B19" s="31">
        <f>'FY09_$3.67B_OldFormula'!C17</f>
        <v>49502845</v>
      </c>
      <c r="C19" s="10">
        <f>'FY09_$840M_NewFormula'!P17</f>
        <v>45534230</v>
      </c>
      <c r="D19" s="15">
        <f t="shared" si="0"/>
        <v>95037075</v>
      </c>
      <c r="E19" s="10"/>
    </row>
    <row r="20" spans="1:5" ht="12.75">
      <c r="A20" s="9" t="s">
        <v>11</v>
      </c>
      <c r="B20" s="31">
        <f>'FY09_$3.67B_OldFormula'!C18</f>
        <v>39139589</v>
      </c>
      <c r="C20" s="10">
        <f>'FY09_$840M_NewFormula'!P18</f>
        <v>36001792</v>
      </c>
      <c r="D20" s="15">
        <f t="shared" si="0"/>
        <v>75141381</v>
      </c>
      <c r="E20" s="10"/>
    </row>
    <row r="21" spans="1:5" ht="12.75">
      <c r="A21" s="9" t="s">
        <v>12</v>
      </c>
      <c r="B21" s="31">
        <f>'FY09_$3.67B_OldFormula'!C19</f>
        <v>3941572</v>
      </c>
      <c r="C21" s="10">
        <f>'FY09_$840M_NewFormula'!P19</f>
        <v>710209</v>
      </c>
      <c r="D21" s="15">
        <f t="shared" si="0"/>
        <v>4651781</v>
      </c>
      <c r="E21" s="10"/>
    </row>
    <row r="22" spans="1:5" ht="12.75">
      <c r="A22" s="9" t="s">
        <v>13</v>
      </c>
      <c r="B22" s="31">
        <f>'FY09_$3.67B_OldFormula'!C20</f>
        <v>22826525</v>
      </c>
      <c r="C22" s="10">
        <f>'FY09_$840M_NewFormula'!P20</f>
        <v>4112955</v>
      </c>
      <c r="D22" s="15">
        <f t="shared" si="0"/>
        <v>26939480</v>
      </c>
      <c r="E22" s="10"/>
    </row>
    <row r="23" spans="1:5" ht="12.75">
      <c r="A23" s="9" t="s">
        <v>14</v>
      </c>
      <c r="B23" s="31">
        <f>'FY09_$3.67B_OldFormula'!C21</f>
        <v>211298215</v>
      </c>
      <c r="C23" s="10">
        <f>'FY09_$840M_NewFormula'!P21</f>
        <v>25938239</v>
      </c>
      <c r="D23" s="15">
        <f t="shared" si="0"/>
        <v>237236454</v>
      </c>
      <c r="E23" s="10"/>
    </row>
    <row r="24" spans="1:5" ht="12.75">
      <c r="A24" s="9" t="s">
        <v>15</v>
      </c>
      <c r="B24" s="31">
        <f>'FY09_$3.67B_OldFormula'!C22</f>
        <v>95669896</v>
      </c>
      <c r="C24" s="10">
        <f>'FY09_$840M_NewFormula'!P22</f>
        <v>7938702</v>
      </c>
      <c r="D24" s="15">
        <f t="shared" si="0"/>
        <v>103608598</v>
      </c>
      <c r="E24" s="10"/>
    </row>
    <row r="25" spans="1:5" ht="12.75">
      <c r="A25" s="9" t="s">
        <v>16</v>
      </c>
      <c r="B25" s="31">
        <f>'FY09_$3.67B_OldFormula'!C23</f>
        <v>67802538</v>
      </c>
      <c r="C25" s="10">
        <f>'FY09_$840M_NewFormula'!P23</f>
        <v>0</v>
      </c>
      <c r="D25" s="15">
        <f t="shared" si="0"/>
        <v>67802538</v>
      </c>
      <c r="E25" s="10"/>
    </row>
    <row r="26" spans="1:5" ht="12.75">
      <c r="A26" s="9" t="s">
        <v>17</v>
      </c>
      <c r="B26" s="31">
        <f>'FY09_$3.67B_OldFormula'!C24</f>
        <v>31137967</v>
      </c>
      <c r="C26" s="10">
        <f>'FY09_$840M_NewFormula'!P24</f>
        <v>14211328</v>
      </c>
      <c r="D26" s="15">
        <f t="shared" si="0"/>
        <v>45349295</v>
      </c>
      <c r="E26" s="10"/>
    </row>
    <row r="27" spans="1:5" ht="12.75">
      <c r="A27" s="9" t="s">
        <v>18</v>
      </c>
      <c r="B27" s="31">
        <f>'FY09_$3.67B_OldFormula'!C25</f>
        <v>49786291</v>
      </c>
      <c r="C27" s="10">
        <f>'FY09_$840M_NewFormula'!P25</f>
        <v>18566987</v>
      </c>
      <c r="D27" s="15">
        <f t="shared" si="0"/>
        <v>68353278</v>
      </c>
      <c r="E27" s="10"/>
    </row>
    <row r="28" spans="1:5" ht="12.75">
      <c r="A28" s="9" t="s">
        <v>19</v>
      </c>
      <c r="B28" s="31">
        <f>'FY09_$3.67B_OldFormula'!C26</f>
        <v>31984520</v>
      </c>
      <c r="C28" s="10">
        <f>'FY09_$840M_NewFormula'!P26</f>
        <v>25211818</v>
      </c>
      <c r="D28" s="15">
        <f t="shared" si="0"/>
        <v>57196338</v>
      </c>
      <c r="E28" s="10"/>
    </row>
    <row r="29" spans="1:5" ht="12.75">
      <c r="A29" s="9" t="s">
        <v>20</v>
      </c>
      <c r="B29" s="31">
        <f>'FY09_$3.67B_OldFormula'!C27</f>
        <v>49456684</v>
      </c>
      <c r="C29" s="10">
        <f>'FY09_$840M_NewFormula'!P27</f>
        <v>0</v>
      </c>
      <c r="D29" s="15">
        <f t="shared" si="0"/>
        <v>49456684</v>
      </c>
      <c r="E29" s="10"/>
    </row>
    <row r="30" spans="1:5" ht="12.75">
      <c r="A30" s="9" t="s">
        <v>21</v>
      </c>
      <c r="B30" s="31">
        <f>'FY09_$3.67B_OldFormula'!C28</f>
        <v>58453203</v>
      </c>
      <c r="C30" s="10">
        <f>'FY09_$840M_NewFormula'!P28</f>
        <v>42842808</v>
      </c>
      <c r="D30" s="15">
        <f t="shared" si="0"/>
        <v>101296011</v>
      </c>
      <c r="E30" s="10"/>
    </row>
    <row r="31" spans="1:5" ht="12.75">
      <c r="A31" s="9" t="s">
        <v>22</v>
      </c>
      <c r="B31" s="31">
        <f>'FY09_$3.67B_OldFormula'!C29</f>
        <v>152706927</v>
      </c>
      <c r="C31" s="10">
        <f>'FY09_$840M_NewFormula'!P29</f>
        <v>10273910</v>
      </c>
      <c r="D31" s="15">
        <f t="shared" si="0"/>
        <v>162980837</v>
      </c>
      <c r="E31" s="10"/>
    </row>
    <row r="32" spans="1:5" ht="12.75">
      <c r="A32" s="9" t="s">
        <v>23</v>
      </c>
      <c r="B32" s="31">
        <f>'FY09_$3.67B_OldFormula'!C30</f>
        <v>200609135</v>
      </c>
      <c r="C32" s="10">
        <f>'FY09_$840M_NewFormula'!P30</f>
        <v>21803333</v>
      </c>
      <c r="D32" s="15">
        <f t="shared" si="0"/>
        <v>222412468</v>
      </c>
      <c r="E32" s="10"/>
    </row>
    <row r="33" spans="1:5" ht="12.75">
      <c r="A33" s="9" t="s">
        <v>24</v>
      </c>
      <c r="B33" s="31">
        <f>'FY09_$3.67B_OldFormula'!C31</f>
        <v>144527532</v>
      </c>
      <c r="C33" s="10">
        <f>'FY09_$840M_NewFormula'!P31</f>
        <v>0</v>
      </c>
      <c r="D33" s="15">
        <f t="shared" si="0"/>
        <v>144527532</v>
      </c>
      <c r="E33" s="10"/>
    </row>
    <row r="34" spans="1:5" ht="12.75">
      <c r="A34" s="9" t="s">
        <v>25</v>
      </c>
      <c r="B34" s="31">
        <f>'FY09_$3.67B_OldFormula'!C32</f>
        <v>26822371</v>
      </c>
      <c r="C34" s="10">
        <f>'FY09_$840M_NewFormula'!P32</f>
        <v>12188680</v>
      </c>
      <c r="D34" s="15">
        <f t="shared" si="0"/>
        <v>39011051</v>
      </c>
      <c r="E34" s="10"/>
    </row>
    <row r="35" spans="1:5" ht="12.75">
      <c r="A35" s="9" t="s">
        <v>26</v>
      </c>
      <c r="B35" s="31">
        <f>'FY09_$3.67B_OldFormula'!C33</f>
        <v>84400757</v>
      </c>
      <c r="C35" s="10">
        <f>'FY09_$840M_NewFormula'!P33</f>
        <v>19140362</v>
      </c>
      <c r="D35" s="15">
        <f t="shared" si="0"/>
        <v>103541119</v>
      </c>
      <c r="E35" s="10"/>
    </row>
    <row r="36" spans="1:5" ht="12.75">
      <c r="A36" s="9" t="s">
        <v>27</v>
      </c>
      <c r="B36" s="31">
        <f>'FY09_$3.67B_OldFormula'!C34</f>
        <v>26774064</v>
      </c>
      <c r="C36" s="10">
        <f>'FY09_$840M_NewFormula'!P34</f>
        <v>4824235</v>
      </c>
      <c r="D36" s="15">
        <f t="shared" si="0"/>
        <v>31598299</v>
      </c>
      <c r="E36" s="10"/>
    </row>
    <row r="37" spans="1:5" ht="12.75">
      <c r="A37" s="9" t="s">
        <v>28</v>
      </c>
      <c r="B37" s="31">
        <f>'FY09_$3.67B_OldFormula'!C35</f>
        <v>33530956</v>
      </c>
      <c r="C37" s="10">
        <f>'FY09_$840M_NewFormula'!P35</f>
        <v>6041714</v>
      </c>
      <c r="D37" s="15">
        <f t="shared" si="0"/>
        <v>39572670</v>
      </c>
      <c r="E37" s="10"/>
    </row>
    <row r="38" spans="1:5" ht="12.75">
      <c r="A38" s="9" t="s">
        <v>29</v>
      </c>
      <c r="B38" s="31">
        <f>'FY09_$3.67B_OldFormula'!C36</f>
        <v>7106107</v>
      </c>
      <c r="C38" s="10">
        <f>'FY09_$840M_NewFormula'!P36</f>
        <v>6536415</v>
      </c>
      <c r="D38" s="15">
        <f t="shared" si="0"/>
        <v>13642522</v>
      </c>
      <c r="E38" s="10"/>
    </row>
    <row r="39" spans="1:5" ht="12.75">
      <c r="A39" s="9" t="s">
        <v>30</v>
      </c>
      <c r="B39" s="31">
        <f>'FY09_$3.67B_OldFormula'!C37</f>
        <v>28904306</v>
      </c>
      <c r="C39" s="10">
        <f>'FY09_$840M_NewFormula'!P37</f>
        <v>5208069</v>
      </c>
      <c r="D39" s="15">
        <f t="shared" si="0"/>
        <v>34112375</v>
      </c>
      <c r="E39" s="10"/>
    </row>
    <row r="40" spans="1:5" ht="12.75">
      <c r="A40" s="9" t="s">
        <v>31</v>
      </c>
      <c r="B40" s="31">
        <f>'FY09_$3.67B_OldFormula'!C38</f>
        <v>141764630</v>
      </c>
      <c r="C40" s="10">
        <f>'FY09_$840M_NewFormula'!P38</f>
        <v>24925661</v>
      </c>
      <c r="D40" s="15">
        <f t="shared" si="0"/>
        <v>166690291</v>
      </c>
      <c r="E40" s="10"/>
    </row>
    <row r="41" spans="1:5" ht="12.75">
      <c r="A41" s="9" t="s">
        <v>32</v>
      </c>
      <c r="B41" s="31">
        <f>'FY09_$3.67B_OldFormula'!C39</f>
        <v>18941700</v>
      </c>
      <c r="C41" s="10">
        <f>'FY09_$840M_NewFormula'!P39</f>
        <v>5959574</v>
      </c>
      <c r="D41" s="15">
        <f t="shared" si="0"/>
        <v>24901274</v>
      </c>
      <c r="E41" s="10"/>
    </row>
    <row r="42" spans="1:5" ht="12.75">
      <c r="A42" s="9" t="s">
        <v>33</v>
      </c>
      <c r="B42" s="31">
        <f>'FY09_$3.67B_OldFormula'!C40</f>
        <v>462882967</v>
      </c>
      <c r="C42" s="10">
        <f>'FY09_$840M_NewFormula'!P40</f>
        <v>13051711</v>
      </c>
      <c r="D42" s="15">
        <f t="shared" si="0"/>
        <v>475934678</v>
      </c>
      <c r="E42" s="10"/>
    </row>
    <row r="43" spans="1:5" ht="12.75">
      <c r="A43" s="9" t="s">
        <v>34</v>
      </c>
      <c r="B43" s="31">
        <f>'FY09_$3.67B_OldFormula'!C41</f>
        <v>68983609</v>
      </c>
      <c r="C43" s="10">
        <f>'FY09_$840M_NewFormula'!P41</f>
        <v>54258996</v>
      </c>
      <c r="D43" s="15">
        <f t="shared" si="0"/>
        <v>123242605</v>
      </c>
      <c r="E43" s="10"/>
    </row>
    <row r="44" spans="1:5" ht="12.75">
      <c r="A44" s="9" t="s">
        <v>35</v>
      </c>
      <c r="B44" s="31">
        <f>'FY09_$3.67B_OldFormula'!C42</f>
        <v>29084733</v>
      </c>
      <c r="C44" s="10">
        <f>'FY09_$840M_NewFormula'!P42</f>
        <v>5240579</v>
      </c>
      <c r="D44" s="15">
        <f t="shared" si="0"/>
        <v>34325312</v>
      </c>
      <c r="E44" s="10"/>
    </row>
    <row r="45" spans="1:5" ht="12.75">
      <c r="A45" s="9" t="s">
        <v>36</v>
      </c>
      <c r="B45" s="31">
        <f>'FY09_$3.67B_OldFormula'!C43</f>
        <v>186924853</v>
      </c>
      <c r="C45" s="10">
        <f>'FY09_$840M_NewFormula'!P43</f>
        <v>33663555</v>
      </c>
      <c r="D45" s="15">
        <f t="shared" si="0"/>
        <v>220588408</v>
      </c>
      <c r="E45" s="10"/>
    </row>
    <row r="46" spans="1:5" ht="12.75">
      <c r="A46" s="9" t="s">
        <v>37</v>
      </c>
      <c r="B46" s="31">
        <f>'FY09_$3.67B_OldFormula'!C44</f>
        <v>28757709</v>
      </c>
      <c r="C46" s="10">
        <f>'FY09_$840M_NewFormula'!P44</f>
        <v>20249449</v>
      </c>
      <c r="D46" s="15">
        <f t="shared" si="0"/>
        <v>49007158</v>
      </c>
      <c r="E46" s="10"/>
    </row>
    <row r="47" spans="1:5" ht="12.75">
      <c r="A47" s="9" t="s">
        <v>38</v>
      </c>
      <c r="B47" s="31">
        <f>'FY09_$3.67B_OldFormula'!C45</f>
        <v>45355128</v>
      </c>
      <c r="C47" s="10">
        <f>'FY09_$840M_NewFormula'!P45</f>
        <v>0</v>
      </c>
      <c r="D47" s="15">
        <f t="shared" si="0"/>
        <v>45355128</v>
      </c>
      <c r="E47" s="10"/>
    </row>
    <row r="48" spans="1:5" ht="12.75">
      <c r="A48" s="9" t="s">
        <v>39</v>
      </c>
      <c r="B48" s="31">
        <f>'FY09_$3.67B_OldFormula'!C46</f>
        <v>248636441</v>
      </c>
      <c r="C48" s="10">
        <f>'FY09_$840M_NewFormula'!P46</f>
        <v>26288922</v>
      </c>
      <c r="D48" s="15">
        <f t="shared" si="0"/>
        <v>274925363</v>
      </c>
      <c r="E48" s="10"/>
    </row>
    <row r="49" spans="1:5" ht="12.75">
      <c r="A49" s="9" t="s">
        <v>40</v>
      </c>
      <c r="B49" s="31">
        <f>'FY09_$3.67B_OldFormula'!C47</f>
        <v>25136431</v>
      </c>
      <c r="C49" s="10">
        <f>'FY09_$840M_NewFormula'!P47</f>
        <v>5072226</v>
      </c>
      <c r="D49" s="15">
        <f t="shared" si="0"/>
        <v>30208657</v>
      </c>
      <c r="E49" s="10"/>
    </row>
    <row r="50" spans="1:5" ht="12.75">
      <c r="A50" s="9" t="s">
        <v>41</v>
      </c>
      <c r="B50" s="31">
        <f>'FY09_$3.67B_OldFormula'!C48</f>
        <v>24846984</v>
      </c>
      <c r="C50" s="10">
        <f>'FY09_$840M_NewFormula'!P48</f>
        <v>22855016</v>
      </c>
      <c r="D50" s="15">
        <f t="shared" si="0"/>
        <v>47702000</v>
      </c>
      <c r="E50" s="10"/>
    </row>
    <row r="51" spans="1:5" ht="12.75">
      <c r="A51" s="9" t="s">
        <v>42</v>
      </c>
      <c r="B51" s="31">
        <f>'FY09_$3.67B_OldFormula'!C49</f>
        <v>23621897</v>
      </c>
      <c r="C51" s="10">
        <f>'FY09_$840M_NewFormula'!P49</f>
        <v>4256268</v>
      </c>
      <c r="D51" s="15">
        <f t="shared" si="0"/>
        <v>27878165</v>
      </c>
      <c r="E51" s="10"/>
    </row>
    <row r="52" spans="1:5" ht="12.75">
      <c r="A52" s="9" t="s">
        <v>43</v>
      </c>
      <c r="B52" s="31">
        <f>'FY09_$3.67B_OldFormula'!C50</f>
        <v>50432446</v>
      </c>
      <c r="C52" s="10">
        <f>'FY09_$840M_NewFormula'!P50</f>
        <v>23290381</v>
      </c>
      <c r="D52" s="15">
        <f t="shared" si="0"/>
        <v>73722827</v>
      </c>
      <c r="E52" s="10"/>
    </row>
    <row r="53" spans="1:5" ht="12.75">
      <c r="A53" s="9" t="s">
        <v>44</v>
      </c>
      <c r="B53" s="31">
        <f>'FY09_$3.67B_OldFormula'!C51</f>
        <v>82356217</v>
      </c>
      <c r="C53" s="10">
        <f>'FY09_$840M_NewFormula'!P51</f>
        <v>75753767</v>
      </c>
      <c r="D53" s="15">
        <f t="shared" si="0"/>
        <v>158109984</v>
      </c>
      <c r="E53" s="10"/>
    </row>
    <row r="54" spans="1:5" ht="12.75">
      <c r="A54" s="9" t="s">
        <v>45</v>
      </c>
      <c r="B54" s="31">
        <f>'FY09_$3.67B_OldFormula'!C52</f>
        <v>27194175</v>
      </c>
      <c r="C54" s="10">
        <f>'FY09_$840M_NewFormula'!P52</f>
        <v>4899933</v>
      </c>
      <c r="D54" s="15">
        <f t="shared" si="0"/>
        <v>32094108</v>
      </c>
      <c r="E54" s="10"/>
    </row>
    <row r="55" spans="1:5" ht="12.75">
      <c r="A55" s="9" t="s">
        <v>46</v>
      </c>
      <c r="B55" s="31">
        <f>'FY09_$3.67B_OldFormula'!C53</f>
        <v>21664807</v>
      </c>
      <c r="C55" s="10">
        <f>'FY09_$840M_NewFormula'!P53</f>
        <v>3903633</v>
      </c>
      <c r="D55" s="15">
        <f t="shared" si="0"/>
        <v>25568440</v>
      </c>
      <c r="E55" s="10"/>
    </row>
    <row r="56" spans="1:5" ht="12.75">
      <c r="A56" s="9" t="s">
        <v>47</v>
      </c>
      <c r="B56" s="31">
        <f>'FY09_$3.67B_OldFormula'!C54</f>
        <v>71202537</v>
      </c>
      <c r="C56" s="10">
        <f>'FY09_$840M_NewFormula'!P54</f>
        <v>46881299</v>
      </c>
      <c r="D56" s="15">
        <f t="shared" si="0"/>
        <v>118083836</v>
      </c>
      <c r="E56" s="10"/>
    </row>
    <row r="57" spans="1:5" ht="12.75">
      <c r="A57" s="9" t="s">
        <v>48</v>
      </c>
      <c r="B57" s="31">
        <f>'FY09_$3.67B_OldFormula'!C55</f>
        <v>74602937</v>
      </c>
      <c r="C57" s="10">
        <f>'FY09_$840M_NewFormula'!P55</f>
        <v>0</v>
      </c>
      <c r="D57" s="15">
        <f t="shared" si="0"/>
        <v>74602937</v>
      </c>
      <c r="E57" s="10"/>
    </row>
    <row r="58" spans="1:5" ht="12.75">
      <c r="A58" s="9" t="s">
        <v>49</v>
      </c>
      <c r="B58" s="31">
        <f>'FY09_$3.67B_OldFormula'!C56</f>
        <v>32947369</v>
      </c>
      <c r="C58" s="10">
        <f>'FY09_$840M_NewFormula'!P56</f>
        <v>7636341</v>
      </c>
      <c r="D58" s="15">
        <f t="shared" si="0"/>
        <v>40583710</v>
      </c>
      <c r="E58" s="10"/>
    </row>
    <row r="59" spans="1:5" ht="12.75">
      <c r="A59" s="9" t="s">
        <v>50</v>
      </c>
      <c r="B59" s="31">
        <f>'FY09_$3.67B_OldFormula'!C57</f>
        <v>130095532</v>
      </c>
      <c r="C59" s="10">
        <f>'FY09_$840M_NewFormula'!P57</f>
        <v>0</v>
      </c>
      <c r="D59" s="15">
        <f t="shared" si="0"/>
        <v>130095532</v>
      </c>
      <c r="E59" s="10"/>
    </row>
    <row r="60" spans="1:5" ht="13.5" thickBot="1">
      <c r="A60" s="9" t="s">
        <v>51</v>
      </c>
      <c r="B60" s="31">
        <f>'FY09_$3.67B_OldFormula'!C58</f>
        <v>10887950</v>
      </c>
      <c r="C60" s="10">
        <f>'FY09_$840M_NewFormula'!P58</f>
        <v>1961826</v>
      </c>
      <c r="D60" s="15">
        <f t="shared" si="0"/>
        <v>12849776</v>
      </c>
      <c r="E60" s="10"/>
    </row>
    <row r="61" spans="1:5" ht="13.5" thickTop="1">
      <c r="A61" s="11" t="s">
        <v>86</v>
      </c>
      <c r="B61" s="32">
        <f>SUM(B10:B60)</f>
        <v>3637646927</v>
      </c>
      <c r="C61" s="12">
        <f>SUM(C10:C60)</f>
        <v>838654686</v>
      </c>
      <c r="D61" s="16">
        <f>SUM(D10:D60)</f>
        <v>4476301613</v>
      </c>
      <c r="E61" s="10"/>
    </row>
    <row r="62" spans="1:5" ht="12.75">
      <c r="A62" s="33"/>
      <c r="C62" s="10"/>
      <c r="E62" s="10"/>
    </row>
    <row r="63" spans="1:5" ht="12.75">
      <c r="A63" s="38" t="s">
        <v>80</v>
      </c>
      <c r="B63" s="35">
        <v>4509672000</v>
      </c>
      <c r="C63" s="10"/>
      <c r="E63" s="10"/>
    </row>
    <row r="64" spans="1:5" ht="12.75">
      <c r="A64" s="38" t="s">
        <v>81</v>
      </c>
      <c r="B64" s="35">
        <f>'FY09_$3.67B_OldFormula'!B64+'FY09_$840M_NewFormula'!E64</f>
        <v>27000000</v>
      </c>
      <c r="C64" s="10"/>
      <c r="E64" s="10"/>
    </row>
    <row r="65" spans="1:5" ht="12.75">
      <c r="A65" s="39" t="s">
        <v>96</v>
      </c>
      <c r="B65" s="35">
        <f>(B63-B64)</f>
        <v>4482672000</v>
      </c>
      <c r="C65" s="10"/>
      <c r="E65" s="10"/>
    </row>
    <row r="66" spans="1:5" ht="12.75">
      <c r="A66" s="38" t="s">
        <v>83</v>
      </c>
      <c r="B66" s="35">
        <f>'FY09_$3.67B_OldFormula'!B66+'FY09_$840M_NewFormula'!E66</f>
        <v>300000</v>
      </c>
      <c r="C66" s="10"/>
      <c r="E66" s="10"/>
    </row>
    <row r="67" spans="1:5" ht="12.75">
      <c r="A67" s="39" t="s">
        <v>96</v>
      </c>
      <c r="B67" s="35">
        <f>(B65-B66)</f>
        <v>4482372000</v>
      </c>
      <c r="C67" s="10"/>
      <c r="E67" s="10"/>
    </row>
    <row r="68" spans="1:5" ht="12.75">
      <c r="A68" s="37" t="s">
        <v>84</v>
      </c>
      <c r="B68" s="40">
        <v>0.00135428</v>
      </c>
      <c r="C68" s="10"/>
      <c r="E68" s="10"/>
    </row>
    <row r="69" spans="1:5" ht="12.75">
      <c r="A69" s="39" t="s">
        <v>85</v>
      </c>
      <c r="B69" s="35">
        <f>ROUND(B67*'FY09_$3.67B_OldFormula'!B68,0)</f>
        <v>6070387</v>
      </c>
      <c r="C69" s="10"/>
      <c r="E69" s="10"/>
    </row>
    <row r="70" spans="1:5" ht="12.75">
      <c r="A70" s="38" t="s">
        <v>86</v>
      </c>
      <c r="B70" s="35">
        <f>(B67-B69)</f>
        <v>4476301613</v>
      </c>
      <c r="C70" s="10"/>
      <c r="E70" s="10"/>
    </row>
    <row r="71" spans="1:5" ht="12.75">
      <c r="A71" s="36"/>
      <c r="C71" s="10"/>
      <c r="E71" s="10"/>
    </row>
    <row r="72" spans="1:5" ht="12.75">
      <c r="A72" s="36"/>
      <c r="C72" s="10"/>
      <c r="E72" s="10"/>
    </row>
    <row r="73" spans="1:5" ht="12.75">
      <c r="A73" s="13" t="s">
        <v>53</v>
      </c>
      <c r="B73" s="31">
        <f>'FY09_$3.67B_OldFormula'!C74</f>
        <v>81606</v>
      </c>
      <c r="C73" s="10">
        <f>'FY09_$840M_NewFormula'!E74</f>
        <v>18815</v>
      </c>
      <c r="D73" s="15">
        <f>SUM(B73:C73)</f>
        <v>100421</v>
      </c>
      <c r="E73" s="10"/>
    </row>
    <row r="74" spans="1:5" ht="12.75">
      <c r="A74" s="13" t="s">
        <v>54</v>
      </c>
      <c r="B74" s="31">
        <f>'FY09_$3.67B_OldFormula'!C75</f>
        <v>178918</v>
      </c>
      <c r="C74" s="10">
        <f>'FY09_$840M_NewFormula'!E75</f>
        <v>41249</v>
      </c>
      <c r="D74" s="15">
        <f>SUM(B74:C74)</f>
        <v>220167</v>
      </c>
      <c r="E74" s="10"/>
    </row>
    <row r="75" spans="1:5" ht="12.75">
      <c r="A75" s="13" t="s">
        <v>55</v>
      </c>
      <c r="B75" s="31">
        <f>'FY09_$3.67B_OldFormula'!C76</f>
        <v>62143</v>
      </c>
      <c r="C75" s="10">
        <f>'FY09_$840M_NewFormula'!E76</f>
        <v>14327</v>
      </c>
      <c r="D75" s="15">
        <f>SUM(B75:C75)</f>
        <v>76470</v>
      </c>
      <c r="E75" s="10"/>
    </row>
    <row r="76" spans="1:5" ht="12.75">
      <c r="A76" s="13" t="s">
        <v>56</v>
      </c>
      <c r="B76" s="31">
        <f>'FY09_$3.67B_OldFormula'!C77</f>
        <v>4441220</v>
      </c>
      <c r="C76" s="10">
        <f>'FY09_$840M_NewFormula'!E77</f>
        <v>1023918</v>
      </c>
      <c r="D76" s="15">
        <f>SUM(B76:C76)</f>
        <v>5465138</v>
      </c>
      <c r="E76" s="10"/>
    </row>
    <row r="77" spans="1:5" ht="13.5" thickBot="1">
      <c r="A77" s="13" t="s">
        <v>57</v>
      </c>
      <c r="B77" s="31">
        <f>'FY09_$3.67B_OldFormula'!C78</f>
        <v>169186</v>
      </c>
      <c r="C77" s="10">
        <f>'FY09_$840M_NewFormula'!E78</f>
        <v>39005</v>
      </c>
      <c r="D77" s="15">
        <f>SUM(B77:C77)</f>
        <v>208191</v>
      </c>
      <c r="E77" s="10"/>
    </row>
    <row r="78" spans="1:4" ht="13.5" thickTop="1">
      <c r="A78" s="11" t="s">
        <v>52</v>
      </c>
      <c r="B78" s="32">
        <f>SUM(B73:B77)</f>
        <v>4933073</v>
      </c>
      <c r="C78" s="12">
        <f>SUM(C73:C77)</f>
        <v>1137314</v>
      </c>
      <c r="D78" s="16">
        <f>SUM(D73:D77)</f>
        <v>6070387</v>
      </c>
    </row>
    <row r="79" ht="12.75">
      <c r="D79" s="10"/>
    </row>
    <row r="80" spans="1:4" ht="12.75">
      <c r="A80" s="13"/>
      <c r="B80" s="10"/>
      <c r="C80" s="10"/>
      <c r="D80" s="10"/>
    </row>
    <row r="81" spans="2:4" ht="12.75">
      <c r="B81" s="10"/>
      <c r="D81" s="15"/>
    </row>
    <row r="82" spans="2:4" ht="12.75">
      <c r="B82" s="10"/>
      <c r="D82" s="15"/>
    </row>
    <row r="83" spans="2:4" ht="12.75">
      <c r="B83" s="10"/>
      <c r="C83" s="10"/>
      <c r="D83" s="10"/>
    </row>
    <row r="84" ht="12.75">
      <c r="B84" s="10"/>
    </row>
    <row r="85" ht="12.75">
      <c r="B85" s="10"/>
    </row>
  </sheetData>
  <mergeCells count="2">
    <mergeCell ref="B6:D6"/>
    <mergeCell ref="A1:D1"/>
  </mergeCells>
  <printOptions gridLines="1" horizontalCentered="1"/>
  <pageMargins left="0.25" right="0.25" top="0.5" bottom="0.5" header="0.5" footer="0.5"/>
  <pageSetup horizontalDpi="600" verticalDpi="600" orientation="portrait" scale="80" r:id="rId1"/>
  <headerFooter alignWithMargins="0">
    <oddFooter>&amp;R&amp;"Arial,Regular"Page &amp;P of &amp;N</oddFoot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P81"/>
  <sheetViews>
    <sheetView zoomScale="115" zoomScaleNormal="115" workbookViewId="0" topLeftCell="A1">
      <pane xSplit="1" ySplit="6" topLeftCell="B7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3" sqref="A3"/>
    </sheetView>
  </sheetViews>
  <sheetFormatPr defaultColWidth="20.83203125" defaultRowHeight="12.75"/>
  <cols>
    <col min="1" max="3" width="38.16015625" style="42" customWidth="1"/>
    <col min="4" max="4" width="23" style="42" bestFit="1" customWidth="1"/>
    <col min="5" max="5" width="24.16015625" style="42" bestFit="1" customWidth="1"/>
    <col min="6" max="6" width="23" style="42" bestFit="1" customWidth="1"/>
    <col min="7" max="7" width="14.16015625" style="42" bestFit="1" customWidth="1"/>
    <col min="8" max="8" width="14.16015625" style="42" customWidth="1"/>
    <col min="9" max="9" width="20.5" style="42" bestFit="1" customWidth="1"/>
    <col min="10" max="10" width="21" style="44" bestFit="1" customWidth="1"/>
    <col min="11" max="11" width="14.83203125" style="42" bestFit="1" customWidth="1"/>
    <col min="12" max="12" width="20.5" style="42" bestFit="1" customWidth="1"/>
    <col min="13" max="13" width="21.83203125" style="42" bestFit="1" customWidth="1"/>
    <col min="14" max="14" width="23" style="42" bestFit="1" customWidth="1"/>
    <col min="15" max="18" width="21.83203125" style="42" customWidth="1"/>
    <col min="19" max="16384" width="20.83203125" style="42" customWidth="1"/>
  </cols>
  <sheetData>
    <row r="1" spans="1:16" s="45" customFormat="1" ht="30.75" customHeight="1">
      <c r="A1" s="193" t="str">
        <f>"FY09 Low Income Home Energy Assistance Program (LIHEAP) Allocations, based on Old-Formula Percentages Only, to States and Territories under an Appropriation of "&amp;TEXT(B2/1000000000,"$0.00")&amp;" Billion."</f>
        <v>FY09 Low Income Home Energy Assistance Program (LIHEAP) Allocations, based on Old-Formula Percentages Only, to States and Territories under an Appropriation of $3.67 Billion.</v>
      </c>
      <c r="B1" s="193"/>
      <c r="C1" s="19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3"/>
      <c r="P1" s="43"/>
    </row>
    <row r="2" spans="1:16" ht="25.5">
      <c r="A2" s="43" t="s">
        <v>88</v>
      </c>
      <c r="B2" s="44">
        <v>3669880000</v>
      </c>
      <c r="C2" s="7" t="str">
        <f>TEXT('FY09 Gross Allco'!$A$5,"dd-MMM-yy")</f>
        <v>16-Oct-08</v>
      </c>
      <c r="E2" s="51"/>
      <c r="F2" s="52"/>
      <c r="H2" s="17"/>
      <c r="O2" s="44"/>
      <c r="P2" s="44"/>
    </row>
    <row r="3" spans="3:6" ht="12.75">
      <c r="C3" s="90"/>
      <c r="F3" s="54"/>
    </row>
    <row r="4" spans="1:16" s="46" customFormat="1" ht="12.75">
      <c r="A4" s="8" t="str">
        <f>IF(COLUMN()&lt;=26,CHAR(64+COLUMN()),CHAR(64+ROUNDDOWN((COLUMN()-1)/26,0))&amp;CHAR(65+MOD((COLUMN()-1),26)))</f>
        <v>A</v>
      </c>
      <c r="B4" s="8" t="str">
        <f>IF(COLUMN()&lt;=26,CHAR(64+COLUMN()),CHAR(64+ROUNDDOWN((COLUMN()-1)/26,0))&amp;CHAR(65+MOD((COLUMN()-1),26)))</f>
        <v>B</v>
      </c>
      <c r="C4" s="8" t="str">
        <f>IF(COLUMN()&lt;=26,CHAR(64+COLUMN()),CHAR(64+ROUNDDOWN((COLUMN()-1)/26,0))&amp;CHAR(65+MOD((COLUMN()-1),26)))</f>
        <v>C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43" customFormat="1" ht="25.5">
      <c r="A5" s="55" t="s">
        <v>0</v>
      </c>
      <c r="B5" s="56" t="s">
        <v>61</v>
      </c>
      <c r="C5" s="59" t="s">
        <v>93</v>
      </c>
      <c r="D5" s="56"/>
      <c r="E5" s="56"/>
      <c r="F5" s="56"/>
      <c r="G5" s="56"/>
      <c r="H5" s="56"/>
      <c r="I5" s="56"/>
      <c r="J5" s="57"/>
      <c r="K5" s="58"/>
      <c r="L5" s="58"/>
      <c r="M5" s="58"/>
      <c r="N5" s="59"/>
      <c r="O5" s="59"/>
      <c r="P5" s="59"/>
    </row>
    <row r="6" spans="1:16" s="47" customFormat="1" ht="12.75">
      <c r="A6" s="60" t="s">
        <v>69</v>
      </c>
      <c r="B6" s="60" t="s">
        <v>70</v>
      </c>
      <c r="C6" s="91" t="str">
        <f>"Col. "&amp;B4&amp;" X "&amp;TEXT($B$70/1000000000,"$0.00")&amp;" Billion"</f>
        <v>Col. B X $3.64 Billion</v>
      </c>
      <c r="D6" s="60"/>
      <c r="E6" s="60"/>
      <c r="F6" s="60"/>
      <c r="G6" s="60"/>
      <c r="H6" s="60"/>
      <c r="I6" s="61"/>
      <c r="J6" s="62"/>
      <c r="K6" s="60"/>
      <c r="L6" s="60"/>
      <c r="M6" s="60"/>
      <c r="N6" s="63"/>
      <c r="O6" s="63"/>
      <c r="P6" s="64"/>
    </row>
    <row r="7" spans="1:14" ht="12.75">
      <c r="A7" s="65"/>
      <c r="B7" s="65"/>
      <c r="C7" s="65"/>
      <c r="D7" s="9"/>
      <c r="E7" s="65"/>
      <c r="F7" s="65"/>
      <c r="G7" s="65"/>
      <c r="I7" s="65"/>
      <c r="J7" s="66"/>
      <c r="K7" s="65"/>
      <c r="L7" s="65"/>
      <c r="M7" s="65"/>
      <c r="N7" s="67"/>
    </row>
    <row r="8" spans="1:16" ht="12.75">
      <c r="A8" s="9" t="s">
        <v>1</v>
      </c>
      <c r="B8" s="68">
        <v>0.00860045</v>
      </c>
      <c r="C8" s="71">
        <f>ROUND(B8*$B$70,0)</f>
        <v>31285401</v>
      </c>
      <c r="D8" s="67"/>
      <c r="E8" s="69"/>
      <c r="F8" s="67"/>
      <c r="G8" s="70"/>
      <c r="H8" s="70"/>
      <c r="I8" s="67"/>
      <c r="J8" s="66"/>
      <c r="K8" s="67"/>
      <c r="L8" s="67"/>
      <c r="M8" s="67"/>
      <c r="N8" s="67"/>
      <c r="O8" s="67"/>
      <c r="P8" s="71"/>
    </row>
    <row r="9" spans="1:16" ht="12.75">
      <c r="A9" s="9" t="s">
        <v>2</v>
      </c>
      <c r="B9" s="68">
        <v>0.00548986</v>
      </c>
      <c r="C9" s="71">
        <f aca="true" t="shared" si="0" ref="C9:C57">ROUND(B9*$B$70,0)</f>
        <v>19970172</v>
      </c>
      <c r="D9" s="67"/>
      <c r="E9" s="69"/>
      <c r="F9" s="67"/>
      <c r="G9" s="70"/>
      <c r="H9" s="70"/>
      <c r="I9" s="67"/>
      <c r="J9" s="66"/>
      <c r="K9" s="67"/>
      <c r="L9" s="67"/>
      <c r="M9" s="67"/>
      <c r="N9" s="67"/>
      <c r="O9" s="67"/>
      <c r="P9" s="71"/>
    </row>
    <row r="10" spans="1:16" ht="12.75">
      <c r="A10" s="9" t="s">
        <v>3</v>
      </c>
      <c r="B10" s="68">
        <v>0.00415928</v>
      </c>
      <c r="C10" s="71">
        <f t="shared" si="0"/>
        <v>15129992</v>
      </c>
      <c r="D10" s="67"/>
      <c r="E10" s="69"/>
      <c r="F10" s="67"/>
      <c r="G10" s="70"/>
      <c r="H10" s="70"/>
      <c r="I10" s="67"/>
      <c r="J10" s="66"/>
      <c r="K10" s="67"/>
      <c r="L10" s="67"/>
      <c r="M10" s="67"/>
      <c r="N10" s="67"/>
      <c r="O10" s="67"/>
      <c r="P10" s="71"/>
    </row>
    <row r="11" spans="1:16" ht="12.75">
      <c r="A11" s="9" t="s">
        <v>4</v>
      </c>
      <c r="B11" s="68">
        <v>0.00656255</v>
      </c>
      <c r="C11" s="71">
        <f t="shared" si="0"/>
        <v>23872240</v>
      </c>
      <c r="D11" s="67"/>
      <c r="E11" s="69"/>
      <c r="F11" s="67"/>
      <c r="G11" s="70"/>
      <c r="H11" s="70"/>
      <c r="I11" s="67"/>
      <c r="J11" s="66"/>
      <c r="K11" s="67"/>
      <c r="L11" s="67"/>
      <c r="M11" s="67"/>
      <c r="N11" s="67"/>
      <c r="O11" s="67"/>
      <c r="P11" s="71"/>
    </row>
    <row r="12" spans="1:16" ht="12.75">
      <c r="A12" s="9" t="s">
        <v>5</v>
      </c>
      <c r="B12" s="68">
        <v>0.04613891</v>
      </c>
      <c r="C12" s="71">
        <f t="shared" si="0"/>
        <v>167837064</v>
      </c>
      <c r="D12" s="67"/>
      <c r="E12" s="69"/>
      <c r="F12" s="67"/>
      <c r="G12" s="70"/>
      <c r="H12" s="70"/>
      <c r="I12" s="67"/>
      <c r="J12" s="66"/>
      <c r="K12" s="67"/>
      <c r="L12" s="67"/>
      <c r="M12" s="67"/>
      <c r="N12" s="67"/>
      <c r="O12" s="67"/>
      <c r="P12" s="71"/>
    </row>
    <row r="13" spans="1:16" ht="12.75">
      <c r="A13" s="9" t="s">
        <v>6</v>
      </c>
      <c r="B13" s="68">
        <v>0.0160872</v>
      </c>
      <c r="C13" s="71">
        <f t="shared" si="0"/>
        <v>58519554</v>
      </c>
      <c r="D13" s="67"/>
      <c r="E13" s="69"/>
      <c r="F13" s="67"/>
      <c r="G13" s="70"/>
      <c r="H13" s="70"/>
      <c r="I13" s="67"/>
      <c r="J13" s="66"/>
      <c r="K13" s="67"/>
      <c r="L13" s="67"/>
      <c r="M13" s="67"/>
      <c r="N13" s="67"/>
      <c r="O13" s="67"/>
      <c r="P13" s="71"/>
    </row>
    <row r="14" spans="1:16" ht="12.75">
      <c r="A14" s="9" t="s">
        <v>7</v>
      </c>
      <c r="B14" s="68">
        <v>0.02098632</v>
      </c>
      <c r="C14" s="71">
        <f t="shared" si="0"/>
        <v>76340822</v>
      </c>
      <c r="D14" s="67"/>
      <c r="E14" s="69"/>
      <c r="F14" s="67"/>
      <c r="G14" s="70"/>
      <c r="H14" s="70"/>
      <c r="I14" s="67"/>
      <c r="J14" s="66"/>
      <c r="K14" s="67"/>
      <c r="L14" s="67"/>
      <c r="M14" s="67"/>
      <c r="N14" s="67"/>
      <c r="O14" s="67"/>
      <c r="P14" s="71"/>
    </row>
    <row r="15" spans="1:16" ht="12.75">
      <c r="A15" s="9" t="s">
        <v>8</v>
      </c>
      <c r="B15" s="68">
        <v>0.00278553</v>
      </c>
      <c r="C15" s="71">
        <f t="shared" si="0"/>
        <v>10132775</v>
      </c>
      <c r="D15" s="67"/>
      <c r="E15" s="69"/>
      <c r="F15" s="67"/>
      <c r="G15" s="70"/>
      <c r="H15" s="70"/>
      <c r="I15" s="67"/>
      <c r="J15" s="66"/>
      <c r="K15" s="67"/>
      <c r="L15" s="67"/>
      <c r="M15" s="67"/>
      <c r="N15" s="67"/>
      <c r="O15" s="67"/>
      <c r="P15" s="71"/>
    </row>
    <row r="16" spans="1:16" ht="12.75">
      <c r="A16" s="9" t="s">
        <v>9</v>
      </c>
      <c r="B16" s="68">
        <v>0.00325921</v>
      </c>
      <c r="C16" s="71">
        <f t="shared" si="0"/>
        <v>11855855</v>
      </c>
      <c r="D16" s="67"/>
      <c r="E16" s="69"/>
      <c r="F16" s="67"/>
      <c r="G16" s="70"/>
      <c r="H16" s="70"/>
      <c r="I16" s="67"/>
      <c r="J16" s="66"/>
      <c r="K16" s="67"/>
      <c r="L16" s="67"/>
      <c r="M16" s="67"/>
      <c r="N16" s="67"/>
      <c r="O16" s="67"/>
      <c r="P16" s="71"/>
    </row>
    <row r="17" spans="1:16" ht="12.75">
      <c r="A17" s="9" t="s">
        <v>10</v>
      </c>
      <c r="B17" s="68">
        <v>0.01360848</v>
      </c>
      <c r="C17" s="71">
        <f t="shared" si="0"/>
        <v>49502845</v>
      </c>
      <c r="D17" s="67"/>
      <c r="E17" s="69"/>
      <c r="F17" s="67"/>
      <c r="G17" s="70"/>
      <c r="H17" s="70"/>
      <c r="I17" s="67"/>
      <c r="J17" s="66"/>
      <c r="K17" s="67"/>
      <c r="L17" s="67"/>
      <c r="M17" s="67"/>
      <c r="N17" s="67"/>
      <c r="O17" s="67"/>
      <c r="P17" s="71"/>
    </row>
    <row r="18" spans="1:16" ht="12.75">
      <c r="A18" s="9" t="s">
        <v>11</v>
      </c>
      <c r="B18" s="68">
        <v>0.01075959</v>
      </c>
      <c r="C18" s="71">
        <f t="shared" si="0"/>
        <v>39139589</v>
      </c>
      <c r="D18" s="67"/>
      <c r="E18" s="69"/>
      <c r="F18" s="67"/>
      <c r="G18" s="70"/>
      <c r="H18" s="70"/>
      <c r="I18" s="67"/>
      <c r="J18" s="66"/>
      <c r="K18" s="67"/>
      <c r="L18" s="67"/>
      <c r="M18" s="67"/>
      <c r="N18" s="67"/>
      <c r="O18" s="67"/>
      <c r="P18" s="71"/>
    </row>
    <row r="19" spans="1:16" ht="12.75">
      <c r="A19" s="9" t="s">
        <v>12</v>
      </c>
      <c r="B19" s="68">
        <v>0.00108355</v>
      </c>
      <c r="C19" s="71">
        <f t="shared" si="0"/>
        <v>3941572</v>
      </c>
      <c r="D19" s="67"/>
      <c r="E19" s="69"/>
      <c r="F19" s="67"/>
      <c r="G19" s="70"/>
      <c r="H19" s="70"/>
      <c r="I19" s="67"/>
      <c r="J19" s="66"/>
      <c r="K19" s="67"/>
      <c r="L19" s="67"/>
      <c r="M19" s="67"/>
      <c r="N19" s="67"/>
      <c r="O19" s="67"/>
      <c r="P19" s="71"/>
    </row>
    <row r="20" spans="1:16" ht="12.75">
      <c r="A20" s="9" t="s">
        <v>13</v>
      </c>
      <c r="B20" s="68">
        <v>0.00627508</v>
      </c>
      <c r="C20" s="71">
        <f t="shared" si="0"/>
        <v>22826525</v>
      </c>
      <c r="D20" s="67"/>
      <c r="E20" s="69"/>
      <c r="F20" s="67"/>
      <c r="G20" s="70"/>
      <c r="H20" s="70"/>
      <c r="I20" s="67"/>
      <c r="J20" s="66"/>
      <c r="K20" s="67"/>
      <c r="L20" s="67"/>
      <c r="M20" s="67"/>
      <c r="N20" s="67"/>
      <c r="O20" s="67"/>
      <c r="P20" s="71"/>
    </row>
    <row r="21" spans="1:16" ht="12.75">
      <c r="A21" s="9" t="s">
        <v>14</v>
      </c>
      <c r="B21" s="68">
        <v>0.05808651</v>
      </c>
      <c r="C21" s="71">
        <f t="shared" si="0"/>
        <v>211298215</v>
      </c>
      <c r="D21" s="67"/>
      <c r="E21" s="69"/>
      <c r="F21" s="67"/>
      <c r="G21" s="70"/>
      <c r="H21" s="70"/>
      <c r="I21" s="67"/>
      <c r="J21" s="66"/>
      <c r="K21" s="67"/>
      <c r="L21" s="67"/>
      <c r="M21" s="67"/>
      <c r="N21" s="67"/>
      <c r="O21" s="67"/>
      <c r="P21" s="71"/>
    </row>
    <row r="22" spans="1:16" ht="12.75">
      <c r="A22" s="9" t="s">
        <v>15</v>
      </c>
      <c r="B22" s="68">
        <v>0.02629994</v>
      </c>
      <c r="C22" s="71">
        <f t="shared" si="0"/>
        <v>95669896</v>
      </c>
      <c r="D22" s="67"/>
      <c r="E22" s="69"/>
      <c r="F22" s="67"/>
      <c r="G22" s="70"/>
      <c r="H22" s="70"/>
      <c r="I22" s="67"/>
      <c r="J22" s="66"/>
      <c r="K22" s="67"/>
      <c r="L22" s="67"/>
      <c r="M22" s="67"/>
      <c r="N22" s="67"/>
      <c r="O22" s="67"/>
      <c r="P22" s="71"/>
    </row>
    <row r="23" spans="1:16" ht="12.75">
      <c r="A23" s="9" t="s">
        <v>16</v>
      </c>
      <c r="B23" s="68">
        <v>0.01863912</v>
      </c>
      <c r="C23" s="71">
        <f t="shared" si="0"/>
        <v>67802538</v>
      </c>
      <c r="D23" s="67"/>
      <c r="E23" s="69"/>
      <c r="F23" s="67"/>
      <c r="G23" s="70"/>
      <c r="H23" s="70"/>
      <c r="I23" s="67"/>
      <c r="J23" s="66"/>
      <c r="K23" s="67"/>
      <c r="L23" s="67"/>
      <c r="M23" s="67"/>
      <c r="N23" s="67"/>
      <c r="O23" s="67"/>
      <c r="P23" s="71"/>
    </row>
    <row r="24" spans="1:16" ht="12.75">
      <c r="A24" s="9" t="s">
        <v>17</v>
      </c>
      <c r="B24" s="68">
        <v>0.00855992</v>
      </c>
      <c r="C24" s="71">
        <f t="shared" si="0"/>
        <v>31137967</v>
      </c>
      <c r="D24" s="67"/>
      <c r="E24" s="69"/>
      <c r="F24" s="67"/>
      <c r="G24" s="70"/>
      <c r="H24" s="70"/>
      <c r="I24" s="67"/>
      <c r="J24" s="66"/>
      <c r="K24" s="67"/>
      <c r="L24" s="67"/>
      <c r="M24" s="67"/>
      <c r="N24" s="67"/>
      <c r="O24" s="67"/>
      <c r="P24" s="71"/>
    </row>
    <row r="25" spans="1:16" ht="12.75">
      <c r="A25" s="9" t="s">
        <v>18</v>
      </c>
      <c r="B25" s="68">
        <v>0.0136864</v>
      </c>
      <c r="C25" s="71">
        <f t="shared" si="0"/>
        <v>49786291</v>
      </c>
      <c r="D25" s="67"/>
      <c r="E25" s="69"/>
      <c r="F25" s="67"/>
      <c r="G25" s="70"/>
      <c r="H25" s="70"/>
      <c r="I25" s="67"/>
      <c r="J25" s="66"/>
      <c r="K25" s="67"/>
      <c r="L25" s="67"/>
      <c r="M25" s="67"/>
      <c r="N25" s="67"/>
      <c r="O25" s="67"/>
      <c r="P25" s="71"/>
    </row>
    <row r="26" spans="1:16" ht="12.75">
      <c r="A26" s="9" t="s">
        <v>19</v>
      </c>
      <c r="B26" s="68">
        <v>0.00879264</v>
      </c>
      <c r="C26" s="71">
        <f t="shared" si="0"/>
        <v>31984520</v>
      </c>
      <c r="D26" s="67"/>
      <c r="E26" s="69"/>
      <c r="F26" s="67"/>
      <c r="G26" s="70"/>
      <c r="H26" s="70"/>
      <c r="I26" s="67"/>
      <c r="J26" s="66"/>
      <c r="K26" s="67"/>
      <c r="L26" s="67"/>
      <c r="M26" s="67"/>
      <c r="N26" s="67"/>
      <c r="O26" s="67"/>
      <c r="P26" s="71"/>
    </row>
    <row r="27" spans="1:16" ht="12.75">
      <c r="A27" s="9" t="s">
        <v>20</v>
      </c>
      <c r="B27" s="68">
        <v>0.01359579</v>
      </c>
      <c r="C27" s="71">
        <f t="shared" si="0"/>
        <v>49456684</v>
      </c>
      <c r="D27" s="67"/>
      <c r="E27" s="69"/>
      <c r="F27" s="67"/>
      <c r="G27" s="70"/>
      <c r="H27" s="70"/>
      <c r="I27" s="67"/>
      <c r="J27" s="66"/>
      <c r="K27" s="67"/>
      <c r="L27" s="67"/>
      <c r="M27" s="67"/>
      <c r="N27" s="67"/>
      <c r="O27" s="67"/>
      <c r="P27" s="71"/>
    </row>
    <row r="28" spans="1:16" ht="12.75">
      <c r="A28" s="9" t="s">
        <v>21</v>
      </c>
      <c r="B28" s="68">
        <v>0.01606896</v>
      </c>
      <c r="C28" s="71">
        <f t="shared" si="0"/>
        <v>58453203</v>
      </c>
      <c r="D28" s="67"/>
      <c r="E28" s="69"/>
      <c r="F28" s="67"/>
      <c r="G28" s="70"/>
      <c r="H28" s="70"/>
      <c r="I28" s="67"/>
      <c r="J28" s="66"/>
      <c r="K28" s="67"/>
      <c r="L28" s="67"/>
      <c r="M28" s="67"/>
      <c r="N28" s="67"/>
      <c r="O28" s="67"/>
      <c r="P28" s="71"/>
    </row>
    <row r="29" spans="1:16" ht="12.75">
      <c r="A29" s="9" t="s">
        <v>22</v>
      </c>
      <c r="B29" s="68">
        <v>0.04197959</v>
      </c>
      <c r="C29" s="71">
        <f t="shared" si="0"/>
        <v>152706927</v>
      </c>
      <c r="D29" s="67"/>
      <c r="E29" s="69"/>
      <c r="F29" s="67"/>
      <c r="G29" s="70"/>
      <c r="H29" s="70"/>
      <c r="I29" s="67"/>
      <c r="J29" s="66"/>
      <c r="K29" s="67"/>
      <c r="L29" s="67"/>
      <c r="M29" s="67"/>
      <c r="N29" s="67"/>
      <c r="O29" s="67"/>
      <c r="P29" s="71"/>
    </row>
    <row r="30" spans="1:16" ht="12.75">
      <c r="A30" s="9" t="s">
        <v>23</v>
      </c>
      <c r="B30" s="68">
        <v>0.05514805</v>
      </c>
      <c r="C30" s="71">
        <f t="shared" si="0"/>
        <v>200609135</v>
      </c>
      <c r="D30" s="67"/>
      <c r="E30" s="69"/>
      <c r="F30" s="67"/>
      <c r="G30" s="70"/>
      <c r="H30" s="70"/>
      <c r="I30" s="67"/>
      <c r="J30" s="66"/>
      <c r="K30" s="67"/>
      <c r="L30" s="67"/>
      <c r="M30" s="67"/>
      <c r="N30" s="67"/>
      <c r="O30" s="67"/>
      <c r="P30" s="71"/>
    </row>
    <row r="31" spans="1:16" ht="12.75">
      <c r="A31" s="9" t="s">
        <v>24</v>
      </c>
      <c r="B31" s="68">
        <v>0.03973105</v>
      </c>
      <c r="C31" s="71">
        <f t="shared" si="0"/>
        <v>144527532</v>
      </c>
      <c r="D31" s="67"/>
      <c r="E31" s="69"/>
      <c r="F31" s="67"/>
      <c r="G31" s="70"/>
      <c r="H31" s="70"/>
      <c r="I31" s="67"/>
      <c r="J31" s="66"/>
      <c r="K31" s="67"/>
      <c r="L31" s="67"/>
      <c r="M31" s="67"/>
      <c r="N31" s="67"/>
      <c r="O31" s="67"/>
      <c r="P31" s="71"/>
    </row>
    <row r="32" spans="1:16" ht="12.75">
      <c r="A32" s="9" t="s">
        <v>25</v>
      </c>
      <c r="B32" s="68">
        <v>0.00737355</v>
      </c>
      <c r="C32" s="71">
        <f t="shared" si="0"/>
        <v>26822371</v>
      </c>
      <c r="D32" s="67"/>
      <c r="E32" s="69"/>
      <c r="F32" s="67"/>
      <c r="G32" s="70"/>
      <c r="H32" s="70"/>
      <c r="I32" s="67"/>
      <c r="J32" s="66"/>
      <c r="K32" s="67"/>
      <c r="L32" s="67"/>
      <c r="M32" s="67"/>
      <c r="N32" s="67"/>
      <c r="O32" s="67"/>
      <c r="P32" s="71"/>
    </row>
    <row r="33" spans="1:16" ht="12.75">
      <c r="A33" s="9" t="s">
        <v>26</v>
      </c>
      <c r="B33" s="68">
        <v>0.02320202</v>
      </c>
      <c r="C33" s="71">
        <f t="shared" si="0"/>
        <v>84400757</v>
      </c>
      <c r="D33" s="67"/>
      <c r="E33" s="69"/>
      <c r="F33" s="67"/>
      <c r="G33" s="70"/>
      <c r="H33" s="70"/>
      <c r="I33" s="67"/>
      <c r="J33" s="66"/>
      <c r="K33" s="67"/>
      <c r="L33" s="67"/>
      <c r="M33" s="67"/>
      <c r="N33" s="67"/>
      <c r="O33" s="67"/>
      <c r="P33" s="71"/>
    </row>
    <row r="34" spans="1:16" ht="12.75">
      <c r="A34" s="9" t="s">
        <v>27</v>
      </c>
      <c r="B34" s="68">
        <v>0.00736027</v>
      </c>
      <c r="C34" s="71">
        <f t="shared" si="0"/>
        <v>26774064</v>
      </c>
      <c r="D34" s="67"/>
      <c r="E34" s="69"/>
      <c r="F34" s="67"/>
      <c r="G34" s="70"/>
      <c r="H34" s="70"/>
      <c r="I34" s="67"/>
      <c r="J34" s="66"/>
      <c r="K34" s="67"/>
      <c r="L34" s="67"/>
      <c r="M34" s="67"/>
      <c r="N34" s="67"/>
      <c r="O34" s="67"/>
      <c r="P34" s="71"/>
    </row>
    <row r="35" spans="1:16" ht="12.75">
      <c r="A35" s="9" t="s">
        <v>28</v>
      </c>
      <c r="B35" s="68">
        <v>0.00921776</v>
      </c>
      <c r="C35" s="71">
        <f t="shared" si="0"/>
        <v>33530956</v>
      </c>
      <c r="D35" s="67"/>
      <c r="E35" s="69"/>
      <c r="F35" s="67"/>
      <c r="G35" s="70"/>
      <c r="H35" s="70"/>
      <c r="I35" s="67"/>
      <c r="J35" s="66"/>
      <c r="K35" s="67"/>
      <c r="L35" s="67"/>
      <c r="M35" s="67"/>
      <c r="N35" s="67"/>
      <c r="O35" s="67"/>
      <c r="P35" s="71"/>
    </row>
    <row r="36" spans="1:16" ht="12.75">
      <c r="A36" s="9" t="s">
        <v>29</v>
      </c>
      <c r="B36" s="68">
        <v>0.00195349</v>
      </c>
      <c r="C36" s="71">
        <f t="shared" si="0"/>
        <v>7106107</v>
      </c>
      <c r="D36" s="67"/>
      <c r="E36" s="69"/>
      <c r="F36" s="67"/>
      <c r="G36" s="70"/>
      <c r="H36" s="70"/>
      <c r="I36" s="67"/>
      <c r="J36" s="66"/>
      <c r="K36" s="67"/>
      <c r="L36" s="67"/>
      <c r="M36" s="67"/>
      <c r="N36" s="67"/>
      <c r="O36" s="67"/>
      <c r="P36" s="71"/>
    </row>
    <row r="37" spans="1:16" ht="12.75">
      <c r="A37" s="9" t="s">
        <v>30</v>
      </c>
      <c r="B37" s="68">
        <v>0.00794588</v>
      </c>
      <c r="C37" s="71">
        <f t="shared" si="0"/>
        <v>28904306</v>
      </c>
      <c r="D37" s="67"/>
      <c r="E37" s="69"/>
      <c r="F37" s="67"/>
      <c r="G37" s="70"/>
      <c r="H37" s="70"/>
      <c r="I37" s="67"/>
      <c r="J37" s="66"/>
      <c r="K37" s="67"/>
      <c r="L37" s="67"/>
      <c r="M37" s="67"/>
      <c r="N37" s="67"/>
      <c r="O37" s="67"/>
      <c r="P37" s="71"/>
    </row>
    <row r="38" spans="1:16" ht="12.75">
      <c r="A38" s="9" t="s">
        <v>31</v>
      </c>
      <c r="B38" s="68">
        <v>0.03897152</v>
      </c>
      <c r="C38" s="71">
        <f t="shared" si="0"/>
        <v>141764630</v>
      </c>
      <c r="D38" s="67"/>
      <c r="E38" s="69"/>
      <c r="F38" s="67"/>
      <c r="G38" s="70"/>
      <c r="H38" s="70"/>
      <c r="I38" s="67"/>
      <c r="J38" s="66"/>
      <c r="K38" s="67"/>
      <c r="L38" s="67"/>
      <c r="M38" s="67"/>
      <c r="N38" s="67"/>
      <c r="O38" s="67"/>
      <c r="P38" s="71"/>
    </row>
    <row r="39" spans="1:16" ht="12.75">
      <c r="A39" s="9" t="s">
        <v>32</v>
      </c>
      <c r="B39" s="68">
        <v>0.00520713</v>
      </c>
      <c r="C39" s="71">
        <f t="shared" si="0"/>
        <v>18941700</v>
      </c>
      <c r="D39" s="67"/>
      <c r="E39" s="69"/>
      <c r="F39" s="67"/>
      <c r="G39" s="70"/>
      <c r="H39" s="70"/>
      <c r="I39" s="67"/>
      <c r="J39" s="66"/>
      <c r="K39" s="67"/>
      <c r="L39" s="67"/>
      <c r="M39" s="67"/>
      <c r="N39" s="67"/>
      <c r="O39" s="67"/>
      <c r="P39" s="71"/>
    </row>
    <row r="40" spans="1:16" ht="12.75">
      <c r="A40" s="9" t="s">
        <v>33</v>
      </c>
      <c r="B40" s="68">
        <v>0.12724791</v>
      </c>
      <c r="C40" s="71">
        <f>ROUND(B40*$B$70,0)-2</f>
        <v>462882967</v>
      </c>
      <c r="D40" s="67"/>
      <c r="E40" s="69"/>
      <c r="F40" s="67"/>
      <c r="G40" s="70"/>
      <c r="H40" s="70"/>
      <c r="I40" s="67"/>
      <c r="J40" s="66"/>
      <c r="K40" s="67"/>
      <c r="L40" s="67"/>
      <c r="M40" s="67"/>
      <c r="N40" s="67"/>
      <c r="O40" s="67"/>
      <c r="P40" s="71"/>
    </row>
    <row r="41" spans="1:16" ht="12.75">
      <c r="A41" s="9" t="s">
        <v>34</v>
      </c>
      <c r="B41" s="68">
        <v>0.0189638</v>
      </c>
      <c r="C41" s="71">
        <f t="shared" si="0"/>
        <v>68983609</v>
      </c>
      <c r="D41" s="67"/>
      <c r="E41" s="69"/>
      <c r="F41" s="67"/>
      <c r="G41" s="70"/>
      <c r="H41" s="70"/>
      <c r="I41" s="67"/>
      <c r="J41" s="66"/>
      <c r="K41" s="67"/>
      <c r="L41" s="67"/>
      <c r="M41" s="67"/>
      <c r="N41" s="67"/>
      <c r="O41" s="67"/>
      <c r="P41" s="71"/>
    </row>
    <row r="42" spans="1:16" ht="12.75">
      <c r="A42" s="9" t="s">
        <v>35</v>
      </c>
      <c r="B42" s="68">
        <v>0.00799548</v>
      </c>
      <c r="C42" s="71">
        <f t="shared" si="0"/>
        <v>29084733</v>
      </c>
      <c r="D42" s="67"/>
      <c r="E42" s="69"/>
      <c r="F42" s="67"/>
      <c r="G42" s="70"/>
      <c r="H42" s="70"/>
      <c r="I42" s="67"/>
      <c r="J42" s="66"/>
      <c r="K42" s="67"/>
      <c r="L42" s="67"/>
      <c r="M42" s="67"/>
      <c r="N42" s="67"/>
      <c r="O42" s="67"/>
      <c r="P42" s="71"/>
    </row>
    <row r="43" spans="1:16" ht="12.75">
      <c r="A43" s="9" t="s">
        <v>36</v>
      </c>
      <c r="B43" s="68">
        <v>0.0513862</v>
      </c>
      <c r="C43" s="71">
        <f t="shared" si="0"/>
        <v>186924853</v>
      </c>
      <c r="D43" s="67"/>
      <c r="E43" s="69"/>
      <c r="F43" s="67"/>
      <c r="G43" s="70"/>
      <c r="H43" s="70"/>
      <c r="I43" s="67"/>
      <c r="J43" s="66"/>
      <c r="K43" s="67"/>
      <c r="L43" s="67"/>
      <c r="M43" s="67"/>
      <c r="N43" s="67"/>
      <c r="O43" s="67"/>
      <c r="P43" s="71"/>
    </row>
    <row r="44" spans="1:16" ht="12.75">
      <c r="A44" s="9" t="s">
        <v>37</v>
      </c>
      <c r="B44" s="68">
        <v>0.00790558</v>
      </c>
      <c r="C44" s="71">
        <f t="shared" si="0"/>
        <v>28757709</v>
      </c>
      <c r="D44" s="67"/>
      <c r="E44" s="69"/>
      <c r="F44" s="67"/>
      <c r="G44" s="70"/>
      <c r="H44" s="70"/>
      <c r="I44" s="67"/>
      <c r="J44" s="66"/>
      <c r="K44" s="67"/>
      <c r="L44" s="67"/>
      <c r="M44" s="67"/>
      <c r="N44" s="67"/>
      <c r="O44" s="67"/>
      <c r="P44" s="71"/>
    </row>
    <row r="45" spans="1:16" ht="12.75">
      <c r="A45" s="9" t="s">
        <v>38</v>
      </c>
      <c r="B45" s="68">
        <v>0.01246826</v>
      </c>
      <c r="C45" s="71">
        <f t="shared" si="0"/>
        <v>45355128</v>
      </c>
      <c r="D45" s="67"/>
      <c r="E45" s="69"/>
      <c r="F45" s="67"/>
      <c r="G45" s="70"/>
      <c r="H45" s="70"/>
      <c r="I45" s="67"/>
      <c r="J45" s="66"/>
      <c r="K45" s="67"/>
      <c r="L45" s="67"/>
      <c r="M45" s="67"/>
      <c r="N45" s="67"/>
      <c r="O45" s="67"/>
      <c r="P45" s="71"/>
    </row>
    <row r="46" spans="1:16" ht="12.75">
      <c r="A46" s="9" t="s">
        <v>39</v>
      </c>
      <c r="B46" s="68">
        <v>0.0683509</v>
      </c>
      <c r="C46" s="71">
        <f t="shared" si="0"/>
        <v>248636441</v>
      </c>
      <c r="D46" s="67"/>
      <c r="E46" s="69"/>
      <c r="F46" s="67"/>
      <c r="G46" s="70"/>
      <c r="H46" s="70"/>
      <c r="I46" s="67"/>
      <c r="J46" s="66"/>
      <c r="K46" s="67"/>
      <c r="L46" s="67"/>
      <c r="M46" s="67"/>
      <c r="N46" s="67"/>
      <c r="O46" s="67"/>
      <c r="P46" s="71"/>
    </row>
    <row r="47" spans="1:16" ht="12.75">
      <c r="A47" s="9" t="s">
        <v>40</v>
      </c>
      <c r="B47" s="68">
        <v>0.00691008</v>
      </c>
      <c r="C47" s="71">
        <f t="shared" si="0"/>
        <v>25136431</v>
      </c>
      <c r="D47" s="67"/>
      <c r="E47" s="69"/>
      <c r="F47" s="67"/>
      <c r="G47" s="70"/>
      <c r="H47" s="70"/>
      <c r="I47" s="67"/>
      <c r="J47" s="66"/>
      <c r="K47" s="67"/>
      <c r="L47" s="67"/>
      <c r="M47" s="67"/>
      <c r="N47" s="67"/>
      <c r="O47" s="67"/>
      <c r="P47" s="71"/>
    </row>
    <row r="48" spans="1:16" ht="12.75">
      <c r="A48" s="9" t="s">
        <v>41</v>
      </c>
      <c r="B48" s="68">
        <v>0.00683051</v>
      </c>
      <c r="C48" s="71">
        <f t="shared" si="0"/>
        <v>24846984</v>
      </c>
      <c r="D48" s="67"/>
      <c r="E48" s="69"/>
      <c r="F48" s="67"/>
      <c r="G48" s="70"/>
      <c r="H48" s="70"/>
      <c r="I48" s="67"/>
      <c r="J48" s="66"/>
      <c r="K48" s="67"/>
      <c r="L48" s="67"/>
      <c r="M48" s="67"/>
      <c r="N48" s="67"/>
      <c r="O48" s="67"/>
      <c r="P48" s="71"/>
    </row>
    <row r="49" spans="1:16" ht="12.75">
      <c r="A49" s="9" t="s">
        <v>42</v>
      </c>
      <c r="B49" s="68">
        <v>0.00649373</v>
      </c>
      <c r="C49" s="71">
        <f t="shared" si="0"/>
        <v>23621897</v>
      </c>
      <c r="D49" s="67"/>
      <c r="E49" s="69"/>
      <c r="F49" s="67"/>
      <c r="G49" s="70"/>
      <c r="H49" s="70"/>
      <c r="I49" s="67"/>
      <c r="J49" s="66"/>
      <c r="K49" s="67"/>
      <c r="L49" s="67"/>
      <c r="M49" s="67"/>
      <c r="N49" s="67"/>
      <c r="O49" s="67"/>
      <c r="P49" s="71"/>
    </row>
    <row r="50" spans="1:16" ht="12.75">
      <c r="A50" s="9" t="s">
        <v>43</v>
      </c>
      <c r="B50" s="68">
        <v>0.01386403</v>
      </c>
      <c r="C50" s="71">
        <f t="shared" si="0"/>
        <v>50432446</v>
      </c>
      <c r="D50" s="67"/>
      <c r="E50" s="69"/>
      <c r="F50" s="67"/>
      <c r="G50" s="70"/>
      <c r="H50" s="70"/>
      <c r="I50" s="67"/>
      <c r="J50" s="66"/>
      <c r="K50" s="67"/>
      <c r="L50" s="67"/>
      <c r="M50" s="67"/>
      <c r="N50" s="67"/>
      <c r="O50" s="67"/>
      <c r="P50" s="71"/>
    </row>
    <row r="51" spans="1:16" ht="12.75">
      <c r="A51" s="9" t="s">
        <v>44</v>
      </c>
      <c r="B51" s="68">
        <v>0.02263997</v>
      </c>
      <c r="C51" s="71">
        <f t="shared" si="0"/>
        <v>82356217</v>
      </c>
      <c r="D51" s="67"/>
      <c r="E51" s="69"/>
      <c r="F51" s="67"/>
      <c r="G51" s="70"/>
      <c r="H51" s="70"/>
      <c r="I51" s="67"/>
      <c r="J51" s="66"/>
      <c r="K51" s="67"/>
      <c r="L51" s="67"/>
      <c r="M51" s="67"/>
      <c r="N51" s="67"/>
      <c r="O51" s="67"/>
      <c r="P51" s="71"/>
    </row>
    <row r="52" spans="1:16" ht="12.75">
      <c r="A52" s="9" t="s">
        <v>45</v>
      </c>
      <c r="B52" s="68">
        <v>0.00747576</v>
      </c>
      <c r="C52" s="71">
        <f t="shared" si="0"/>
        <v>27194175</v>
      </c>
      <c r="D52" s="67"/>
      <c r="E52" s="69"/>
      <c r="F52" s="67"/>
      <c r="G52" s="70"/>
      <c r="H52" s="70"/>
      <c r="I52" s="67"/>
      <c r="J52" s="66"/>
      <c r="K52" s="67"/>
      <c r="L52" s="67"/>
      <c r="M52" s="67"/>
      <c r="N52" s="67"/>
      <c r="O52" s="67"/>
      <c r="P52" s="71"/>
    </row>
    <row r="53" spans="1:16" ht="12.75">
      <c r="A53" s="9" t="s">
        <v>46</v>
      </c>
      <c r="B53" s="68">
        <v>0.00595572</v>
      </c>
      <c r="C53" s="71">
        <f t="shared" si="0"/>
        <v>21664807</v>
      </c>
      <c r="D53" s="67"/>
      <c r="E53" s="69"/>
      <c r="F53" s="67"/>
      <c r="G53" s="70"/>
      <c r="H53" s="70"/>
      <c r="I53" s="67"/>
      <c r="J53" s="66"/>
      <c r="K53" s="67"/>
      <c r="L53" s="67"/>
      <c r="M53" s="67"/>
      <c r="N53" s="67"/>
      <c r="O53" s="67"/>
      <c r="P53" s="71"/>
    </row>
    <row r="54" spans="1:16" ht="12.75">
      <c r="A54" s="9" t="s">
        <v>47</v>
      </c>
      <c r="B54" s="68">
        <v>0.01957379</v>
      </c>
      <c r="C54" s="71">
        <f t="shared" si="0"/>
        <v>71202537</v>
      </c>
      <c r="D54" s="67"/>
      <c r="E54" s="69"/>
      <c r="F54" s="67"/>
      <c r="G54" s="70"/>
      <c r="H54" s="70"/>
      <c r="I54" s="67"/>
      <c r="J54" s="66"/>
      <c r="K54" s="67"/>
      <c r="L54" s="67"/>
      <c r="M54" s="67"/>
      <c r="N54" s="67"/>
      <c r="O54" s="67"/>
      <c r="P54" s="71"/>
    </row>
    <row r="55" spans="1:16" ht="12.75">
      <c r="A55" s="9" t="s">
        <v>48</v>
      </c>
      <c r="B55" s="68">
        <v>0.02050857</v>
      </c>
      <c r="C55" s="71">
        <f t="shared" si="0"/>
        <v>74602937</v>
      </c>
      <c r="D55" s="67"/>
      <c r="E55" s="69"/>
      <c r="F55" s="67"/>
      <c r="G55" s="70"/>
      <c r="H55" s="70"/>
      <c r="I55" s="67"/>
      <c r="J55" s="66"/>
      <c r="K55" s="67"/>
      <c r="L55" s="67"/>
      <c r="M55" s="67"/>
      <c r="N55" s="67"/>
      <c r="O55" s="67"/>
      <c r="P55" s="71"/>
    </row>
    <row r="56" spans="1:16" ht="12.75">
      <c r="A56" s="9" t="s">
        <v>49</v>
      </c>
      <c r="B56" s="68">
        <v>0.00905733</v>
      </c>
      <c r="C56" s="71">
        <f t="shared" si="0"/>
        <v>32947369</v>
      </c>
      <c r="D56" s="67"/>
      <c r="E56" s="69"/>
      <c r="F56" s="67"/>
      <c r="G56" s="70"/>
      <c r="H56" s="70"/>
      <c r="I56" s="67"/>
      <c r="J56" s="66"/>
      <c r="K56" s="67"/>
      <c r="L56" s="67"/>
      <c r="M56" s="67"/>
      <c r="N56" s="67"/>
      <c r="O56" s="67"/>
      <c r="P56" s="71"/>
    </row>
    <row r="57" spans="1:16" ht="12.75">
      <c r="A57" s="9" t="s">
        <v>50</v>
      </c>
      <c r="B57" s="68">
        <v>0.03576365</v>
      </c>
      <c r="C57" s="71">
        <f t="shared" si="0"/>
        <v>130095532</v>
      </c>
      <c r="D57" s="67"/>
      <c r="E57" s="69"/>
      <c r="F57" s="67"/>
      <c r="G57" s="70"/>
      <c r="H57" s="70"/>
      <c r="I57" s="67"/>
      <c r="J57" s="66"/>
      <c r="K57" s="67"/>
      <c r="L57" s="67"/>
      <c r="M57" s="67"/>
      <c r="N57" s="67"/>
      <c r="O57" s="67"/>
      <c r="P57" s="71"/>
    </row>
    <row r="58" spans="1:16" ht="12.75">
      <c r="A58" s="9" t="s">
        <v>51</v>
      </c>
      <c r="B58" s="68">
        <v>0.00299313</v>
      </c>
      <c r="C58" s="71">
        <f>ROUND(B58*$B$70,0)</f>
        <v>10887950</v>
      </c>
      <c r="D58" s="67"/>
      <c r="E58" s="69"/>
      <c r="F58" s="67"/>
      <c r="G58" s="70"/>
      <c r="H58" s="70"/>
      <c r="I58" s="67"/>
      <c r="J58" s="66"/>
      <c r="K58" s="67"/>
      <c r="L58" s="67"/>
      <c r="M58" s="67"/>
      <c r="N58" s="67"/>
      <c r="O58" s="67"/>
      <c r="P58" s="71"/>
    </row>
    <row r="59" spans="1:16" ht="12.75">
      <c r="A59" s="65"/>
      <c r="B59" s="65"/>
      <c r="C59" s="65"/>
      <c r="D59" s="67"/>
      <c r="E59" s="65"/>
      <c r="F59" s="65"/>
      <c r="G59" s="65"/>
      <c r="H59" s="65"/>
      <c r="I59" s="65"/>
      <c r="J59" s="72"/>
      <c r="K59" s="73"/>
      <c r="L59" s="73"/>
      <c r="M59" s="74"/>
      <c r="N59" s="77"/>
      <c r="P59" s="45"/>
    </row>
    <row r="60" spans="1:16" ht="12.75">
      <c r="A60" s="65"/>
      <c r="B60" s="65"/>
      <c r="C60" s="77">
        <f>SUM(C8:C58)</f>
        <v>3637646927</v>
      </c>
      <c r="D60" s="75"/>
      <c r="E60" s="69"/>
      <c r="F60" s="67"/>
      <c r="G60" s="70"/>
      <c r="H60" s="70"/>
      <c r="I60" s="67"/>
      <c r="J60" s="66"/>
      <c r="K60" s="9"/>
      <c r="L60" s="9"/>
      <c r="M60" s="76"/>
      <c r="N60" s="67"/>
      <c r="O60" s="67"/>
      <c r="P60" s="77"/>
    </row>
    <row r="61" spans="1:14" ht="12.75">
      <c r="A61" s="9" t="s">
        <v>78</v>
      </c>
      <c r="B61" s="65"/>
      <c r="C61" s="92"/>
      <c r="D61" s="65"/>
      <c r="E61" s="65"/>
      <c r="F61" s="65"/>
      <c r="G61" s="65"/>
      <c r="H61" s="65"/>
      <c r="I61" s="65"/>
      <c r="J61" s="72"/>
      <c r="K61" s="65"/>
      <c r="L61" s="65"/>
      <c r="M61" s="65"/>
      <c r="N61" s="67"/>
    </row>
    <row r="62" spans="1:13" ht="12.75">
      <c r="A62" s="9"/>
      <c r="B62" s="79"/>
      <c r="C62" s="79"/>
      <c r="D62" s="65"/>
      <c r="E62" s="65"/>
      <c r="F62" s="65"/>
      <c r="G62" s="72"/>
      <c r="H62" s="65"/>
      <c r="I62" s="65"/>
      <c r="J62" s="65"/>
      <c r="L62" s="79"/>
      <c r="M62" s="41"/>
    </row>
    <row r="63" spans="1:13" ht="12.75">
      <c r="A63" s="9" t="s">
        <v>80</v>
      </c>
      <c r="B63" s="72">
        <f>+B2</f>
        <v>3669880000</v>
      </c>
      <c r="C63" s="67"/>
      <c r="D63" s="81"/>
      <c r="E63" s="81"/>
      <c r="F63" s="72"/>
      <c r="G63" s="72"/>
      <c r="H63" s="65"/>
      <c r="I63" s="65"/>
      <c r="J63" s="65"/>
      <c r="L63" s="72"/>
      <c r="M63" s="82"/>
    </row>
    <row r="64" spans="1:13" ht="12.75">
      <c r="A64" s="9" t="s">
        <v>81</v>
      </c>
      <c r="B64" s="67">
        <v>27000000</v>
      </c>
      <c r="C64" s="67"/>
      <c r="D64" s="72"/>
      <c r="E64" s="72"/>
      <c r="F64" s="72"/>
      <c r="G64" s="72"/>
      <c r="H64" s="65"/>
      <c r="I64" s="65"/>
      <c r="J64" s="65"/>
      <c r="L64" s="72"/>
      <c r="M64" s="82"/>
    </row>
    <row r="65" spans="1:13" ht="12.75">
      <c r="A65" s="65" t="s">
        <v>82</v>
      </c>
      <c r="B65" s="67">
        <f>B63-B64</f>
        <v>3642880000</v>
      </c>
      <c r="C65" s="67"/>
      <c r="D65" s="67"/>
      <c r="E65" s="67"/>
      <c r="F65" s="67"/>
      <c r="G65" s="72"/>
      <c r="H65" s="65"/>
      <c r="I65" s="65"/>
      <c r="J65" s="65"/>
      <c r="L65" s="67"/>
      <c r="M65" s="82"/>
    </row>
    <row r="66" spans="1:13" ht="12.75">
      <c r="A66" s="65" t="s">
        <v>83</v>
      </c>
      <c r="B66" s="67">
        <v>300000</v>
      </c>
      <c r="D66" s="67"/>
      <c r="E66" s="67"/>
      <c r="F66" s="67"/>
      <c r="G66" s="72"/>
      <c r="H66" s="65"/>
      <c r="I66" s="65"/>
      <c r="J66" s="65"/>
      <c r="L66" s="72"/>
      <c r="M66" s="82"/>
    </row>
    <row r="67" spans="1:13" ht="12.75">
      <c r="A67" s="65" t="s">
        <v>82</v>
      </c>
      <c r="B67" s="67">
        <f>B65-B66</f>
        <v>3642580000</v>
      </c>
      <c r="D67" s="67"/>
      <c r="E67" s="67"/>
      <c r="F67" s="67"/>
      <c r="G67" s="72"/>
      <c r="H67" s="65"/>
      <c r="I67" s="65"/>
      <c r="J67" s="65"/>
      <c r="L67" s="67"/>
      <c r="M67" s="82"/>
    </row>
    <row r="68" spans="1:13" ht="12.75">
      <c r="A68" s="37" t="s">
        <v>84</v>
      </c>
      <c r="B68" s="68">
        <v>0.00135428</v>
      </c>
      <c r="D68" s="84"/>
      <c r="E68" s="85"/>
      <c r="F68" s="67"/>
      <c r="G68" s="72"/>
      <c r="H68" s="65"/>
      <c r="I68" s="65"/>
      <c r="J68" s="65"/>
      <c r="L68" s="68"/>
      <c r="M68" s="86"/>
    </row>
    <row r="69" spans="1:13" ht="12.75">
      <c r="A69" s="65" t="s">
        <v>85</v>
      </c>
      <c r="B69" s="67">
        <f>ROUND(B67*B68,0)</f>
        <v>4933073</v>
      </c>
      <c r="C69" s="67"/>
      <c r="D69" s="67"/>
      <c r="E69" s="67"/>
      <c r="F69" s="67"/>
      <c r="G69" s="72"/>
      <c r="H69" s="65"/>
      <c r="I69" s="65"/>
      <c r="J69" s="65"/>
      <c r="L69" s="67"/>
      <c r="M69" s="82"/>
    </row>
    <row r="70" spans="1:13" ht="12.75">
      <c r="A70" s="65" t="s">
        <v>86</v>
      </c>
      <c r="B70" s="67">
        <f>B67-B69</f>
        <v>3637646927</v>
      </c>
      <c r="D70" s="67"/>
      <c r="E70" s="67"/>
      <c r="F70" s="67"/>
      <c r="G70" s="72"/>
      <c r="H70" s="65"/>
      <c r="I70" s="65"/>
      <c r="J70" s="65"/>
      <c r="L70" s="67"/>
      <c r="M70" s="82"/>
    </row>
    <row r="71" spans="1:13" ht="12.75">
      <c r="A71" s="65"/>
      <c r="B71" s="65"/>
      <c r="C71" s="67"/>
      <c r="D71" s="67"/>
      <c r="E71" s="67"/>
      <c r="F71" s="67"/>
      <c r="G71" s="67"/>
      <c r="H71" s="67"/>
      <c r="I71" s="67"/>
      <c r="J71" s="72"/>
      <c r="K71" s="65"/>
      <c r="L71" s="65"/>
      <c r="M71" s="65"/>
    </row>
    <row r="72" spans="1:13" ht="12.75">
      <c r="A72" s="65"/>
      <c r="B72" s="65"/>
      <c r="C72" s="67"/>
      <c r="D72" s="67"/>
      <c r="E72" s="67"/>
      <c r="F72" s="67"/>
      <c r="G72" s="67"/>
      <c r="H72" s="67"/>
      <c r="I72" s="67"/>
      <c r="J72" s="72"/>
      <c r="K72" s="65"/>
      <c r="L72" s="65"/>
      <c r="M72" s="65"/>
    </row>
    <row r="73" spans="1:10" ht="12.75">
      <c r="A73" s="49" t="s">
        <v>85</v>
      </c>
      <c r="B73" s="49" t="s">
        <v>87</v>
      </c>
      <c r="C73" s="24" t="str">
        <f>"Territory Allocations at $3.67B"</f>
        <v>Territory Allocations at $3.67B</v>
      </c>
      <c r="D73" s="24"/>
      <c r="E73" s="19"/>
      <c r="J73" s="42"/>
    </row>
    <row r="74" spans="1:10" ht="12.75">
      <c r="A74" s="13" t="s">
        <v>53</v>
      </c>
      <c r="B74" s="20">
        <v>0.01654258</v>
      </c>
      <c r="C74" s="25">
        <f>ROUND(B74*$B$69,0)</f>
        <v>81606</v>
      </c>
      <c r="D74" s="25"/>
      <c r="E74" s="93"/>
      <c r="J74" s="42"/>
    </row>
    <row r="75" spans="1:10" ht="12.75">
      <c r="A75" s="13" t="s">
        <v>54</v>
      </c>
      <c r="B75" s="20">
        <v>0.03626904</v>
      </c>
      <c r="C75" s="25">
        <f>ROUND(B75*$B$69,0)</f>
        <v>178918</v>
      </c>
      <c r="D75" s="25"/>
      <c r="E75" s="93"/>
      <c r="J75" s="42"/>
    </row>
    <row r="76" spans="1:10" ht="12.75">
      <c r="A76" s="13" t="s">
        <v>55</v>
      </c>
      <c r="B76" s="20">
        <v>0.01259719</v>
      </c>
      <c r="C76" s="25">
        <f>ROUND(B76*$B$69,0)</f>
        <v>62143</v>
      </c>
      <c r="D76" s="25"/>
      <c r="E76" s="93"/>
      <c r="J76" s="42"/>
    </row>
    <row r="77" spans="1:10" ht="12.75">
      <c r="A77" s="13" t="s">
        <v>56</v>
      </c>
      <c r="B77" s="20">
        <v>0.90029483</v>
      </c>
      <c r="C77" s="25">
        <f>ROUND(B77*$B$69,0)</f>
        <v>4441220</v>
      </c>
      <c r="D77" s="25"/>
      <c r="E77" s="93"/>
      <c r="J77" s="42"/>
    </row>
    <row r="78" spans="1:10" ht="13.5" thickBot="1">
      <c r="A78" s="13" t="s">
        <v>57</v>
      </c>
      <c r="B78" s="20">
        <v>0.03429636</v>
      </c>
      <c r="C78" s="26">
        <f>ROUND(B78*$B$69,0)</f>
        <v>169186</v>
      </c>
      <c r="D78" s="25"/>
      <c r="E78" s="93"/>
      <c r="J78" s="42"/>
    </row>
    <row r="79" spans="1:10" ht="13.5" thickTop="1">
      <c r="A79" s="22" t="s">
        <v>52</v>
      </c>
      <c r="B79" s="23"/>
      <c r="C79" s="25">
        <f>SUM(C74:C78)</f>
        <v>4933073</v>
      </c>
      <c r="D79" s="25"/>
      <c r="E79" s="21"/>
      <c r="J79" s="42"/>
    </row>
    <row r="80" ht="12.75">
      <c r="E80" s="89"/>
    </row>
    <row r="81" ht="12.75">
      <c r="A81" s="13"/>
    </row>
  </sheetData>
  <mergeCells count="1">
    <mergeCell ref="A1:C1"/>
  </mergeCells>
  <printOptions gridLines="1" horizontalCentered="1"/>
  <pageMargins left="0.25" right="0.25" top="0.5" bottom="0.5" header="0.5" footer="0.5"/>
  <pageSetup fitToHeight="2" horizontalDpi="600" verticalDpi="600" orientation="portrait" scale="80" r:id="rId1"/>
  <headerFooter alignWithMargins="0">
    <oddFooter>&amp;R&amp;"Arial,Regular"Page &amp;P of &amp;N</oddFooter>
  </headerFooter>
  <rowBreaks count="1" manualBreakCount="1">
    <brk id="6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Q81"/>
  <sheetViews>
    <sheetView workbookViewId="0" topLeftCell="A1">
      <pane xSplit="1" ySplit="6" topLeftCell="B7" activePane="bottomRight" state="frozen"/>
      <selection pane="topLeft" activeCell="A83" sqref="A83"/>
      <selection pane="topRight" activeCell="A83" sqref="A83"/>
      <selection pane="bottomLeft" activeCell="A83" sqref="A83"/>
      <selection pane="bottomRight" activeCell="A1" sqref="A1"/>
    </sheetView>
  </sheetViews>
  <sheetFormatPr defaultColWidth="20.83203125" defaultRowHeight="12.75"/>
  <cols>
    <col min="1" max="1" width="31.33203125" style="42" bestFit="1" customWidth="1"/>
    <col min="2" max="9" width="23.66015625" style="42" customWidth="1"/>
    <col min="10" max="10" width="23.66015625" style="44" customWidth="1"/>
    <col min="11" max="15" width="23.66015625" style="42" customWidth="1"/>
    <col min="16" max="16" width="25.66015625" style="42" customWidth="1"/>
    <col min="17" max="16384" width="12.83203125" style="42" customWidth="1"/>
  </cols>
  <sheetData>
    <row r="1" spans="2:16" s="45" customFormat="1" ht="25.5">
      <c r="B1" s="193" t="s">
        <v>107</v>
      </c>
      <c r="C1" s="193"/>
      <c r="D1" s="193"/>
      <c r="E1" s="193"/>
      <c r="F1" s="193"/>
      <c r="G1" s="193"/>
      <c r="H1" s="193"/>
      <c r="I1" s="193"/>
      <c r="J1" s="193" t="s">
        <v>107</v>
      </c>
      <c r="K1" s="193"/>
      <c r="L1" s="193"/>
      <c r="M1" s="193"/>
      <c r="N1" s="193"/>
      <c r="O1" s="43" t="s">
        <v>111</v>
      </c>
      <c r="P1" s="43" t="s">
        <v>110</v>
      </c>
    </row>
    <row r="2" spans="2:17" ht="27.75">
      <c r="B2" s="186" t="s">
        <v>109</v>
      </c>
      <c r="C2" s="187">
        <v>2814792000</v>
      </c>
      <c r="D2" s="42" t="s">
        <v>59</v>
      </c>
      <c r="E2" s="51">
        <f>F60-N60</f>
        <v>0</v>
      </c>
      <c r="F2" s="52"/>
      <c r="G2" s="7" t="str">
        <f>TEXT('FY09 Gross Allco'!$A$5,"dd-MMM-yy")</f>
        <v>16-Oct-08</v>
      </c>
      <c r="H2" s="17"/>
      <c r="O2" s="44">
        <f>C2-P2</f>
        <v>1975000000</v>
      </c>
      <c r="P2" s="44">
        <v>839792000</v>
      </c>
      <c r="Q2" s="44"/>
    </row>
    <row r="3" spans="2:6" ht="12.75">
      <c r="B3" s="42" t="s">
        <v>60</v>
      </c>
      <c r="C3" s="53">
        <v>2.6964842640574984</v>
      </c>
      <c r="F3" s="54"/>
    </row>
    <row r="4" spans="1:16" s="46" customFormat="1" ht="12.75">
      <c r="A4" s="8" t="str">
        <f aca="true" t="shared" si="0" ref="A4:M4">IF(COLUMN()&lt;=26,CHAR(64+COLUMN()),CHAR(64+ROUNDDOWN((COLUMN()-1)/26,0))&amp;CHAR(65+MOD((COLUMN()-1),26)))</f>
        <v>A</v>
      </c>
      <c r="B4" s="8" t="str">
        <f t="shared" si="0"/>
        <v>B</v>
      </c>
      <c r="C4" s="8" t="str">
        <f t="shared" si="0"/>
        <v>C</v>
      </c>
      <c r="D4" s="8" t="str">
        <f t="shared" si="0"/>
        <v>D</v>
      </c>
      <c r="E4" s="8" t="str">
        <f t="shared" si="0"/>
        <v>E</v>
      </c>
      <c r="F4" s="8" t="str">
        <f t="shared" si="0"/>
        <v>F</v>
      </c>
      <c r="G4" s="8" t="str">
        <f t="shared" si="0"/>
        <v>G</v>
      </c>
      <c r="H4" s="8" t="str">
        <f t="shared" si="0"/>
        <v>H</v>
      </c>
      <c r="I4" s="8" t="str">
        <f t="shared" si="0"/>
        <v>I</v>
      </c>
      <c r="J4" s="8" t="str">
        <f t="shared" si="0"/>
        <v>J</v>
      </c>
      <c r="K4" s="8" t="str">
        <f t="shared" si="0"/>
        <v>K</v>
      </c>
      <c r="L4" s="8" t="str">
        <f t="shared" si="0"/>
        <v>L</v>
      </c>
      <c r="M4" s="8" t="str">
        <f t="shared" si="0"/>
        <v>M</v>
      </c>
      <c r="N4" s="8" t="str">
        <f>IF(COLUMN()&lt;=26,CHAR(64+COLUMN()),CHAR(64+ROUNDDOWN((COLUMN()-1)/26,0))&amp;CHAR(65+MOD((COLUMN()-1),26)))</f>
        <v>N</v>
      </c>
      <c r="O4" s="8" t="str">
        <f>IF(COLUMN()&lt;=26,CHAR(64+COLUMN()),CHAR(64+ROUNDDOWN((COLUMN()-1)/26,0))&amp;CHAR(65+MOD((COLUMN()-1),26)))</f>
        <v>O</v>
      </c>
      <c r="P4" s="8" t="str">
        <f>IF(COLUMN()&lt;=26,CHAR(64+COLUMN()),CHAR(64+ROUNDDOWN((COLUMN()-1)/26,0))&amp;CHAR(65+MOD((COLUMN()-1),26)))</f>
        <v>P</v>
      </c>
    </row>
    <row r="5" spans="1:16" s="43" customFormat="1" ht="25.5">
      <c r="A5" s="55" t="s">
        <v>0</v>
      </c>
      <c r="B5" s="56" t="s">
        <v>61</v>
      </c>
      <c r="C5" s="56" t="s">
        <v>62</v>
      </c>
      <c r="D5" s="56" t="s">
        <v>63</v>
      </c>
      <c r="E5" s="56" t="s">
        <v>64</v>
      </c>
      <c r="F5" s="56" t="s">
        <v>65</v>
      </c>
      <c r="G5" s="56" t="s">
        <v>89</v>
      </c>
      <c r="H5" s="56" t="s">
        <v>90</v>
      </c>
      <c r="I5" s="56" t="s">
        <v>91</v>
      </c>
      <c r="J5" s="57" t="s">
        <v>112</v>
      </c>
      <c r="K5" s="58" t="s">
        <v>66</v>
      </c>
      <c r="L5" s="58" t="s">
        <v>67</v>
      </c>
      <c r="M5" s="58" t="s">
        <v>68</v>
      </c>
      <c r="N5" s="58" t="str">
        <f>"Allocations under New-Formula"</f>
        <v>Allocations under New-Formula</v>
      </c>
      <c r="O5" s="58" t="s">
        <v>71</v>
      </c>
      <c r="P5" s="59" t="s">
        <v>101</v>
      </c>
    </row>
    <row r="6" spans="1:16" s="47" customFormat="1" ht="51">
      <c r="A6" s="60" t="s">
        <v>69</v>
      </c>
      <c r="B6" s="60" t="s">
        <v>70</v>
      </c>
      <c r="C6" s="60" t="s">
        <v>71</v>
      </c>
      <c r="D6" s="60" t="str">
        <f>"Ceiling Levels Based on FY 1984 Allocations (Col "&amp;C4&amp;" X Ceiling Ratio"</f>
        <v>Ceiling Levels Based on FY 1984 Allocations (Col C X Ceiling Ratio</v>
      </c>
      <c r="E6" s="60" t="s">
        <v>106</v>
      </c>
      <c r="F6" s="60" t="str">
        <f>"Home Energy Percents X Allocation (Col "&amp;E4&amp;" X Total to States for FY09)"</f>
        <v>Home Energy Percents X Allocation (Col E X Total to States for FY09)</v>
      </c>
      <c r="G6" s="60" t="s">
        <v>72</v>
      </c>
      <c r="H6" s="60" t="s">
        <v>73</v>
      </c>
      <c r="I6" s="61" t="s">
        <v>92</v>
      </c>
      <c r="J6" s="62" t="s">
        <v>74</v>
      </c>
      <c r="K6" s="60" t="s">
        <v>75</v>
      </c>
      <c r="L6" s="60" t="s">
        <v>76</v>
      </c>
      <c r="M6" s="60" t="s">
        <v>77</v>
      </c>
      <c r="N6" s="63" t="str">
        <f>"Sum  of Columns "&amp;J4&amp;", "&amp;K4&amp;", "&amp;L4&amp;" and "&amp;M4</f>
        <v>Sum  of Columns J, K, L and M</v>
      </c>
      <c r="O6" s="60" t="s">
        <v>100</v>
      </c>
      <c r="P6" s="64" t="str">
        <f>"Col. "&amp;N4&amp;" Minus Col. "&amp;O4</f>
        <v>Col. N Minus Col. O</v>
      </c>
    </row>
    <row r="7" spans="1:14" ht="12.75">
      <c r="A7" s="65"/>
      <c r="B7" s="65"/>
      <c r="C7" s="65"/>
      <c r="D7" s="9"/>
      <c r="E7" s="65"/>
      <c r="F7" s="65"/>
      <c r="G7" s="65"/>
      <c r="I7" s="65"/>
      <c r="J7" s="66"/>
      <c r="K7" s="65"/>
      <c r="L7" s="65"/>
      <c r="M7" s="65"/>
      <c r="N7" s="67"/>
    </row>
    <row r="8" spans="1:16" ht="12.75">
      <c r="A8" s="9" t="s">
        <v>1</v>
      </c>
      <c r="B8" s="68">
        <v>0.00860045</v>
      </c>
      <c r="C8" s="67">
        <f aca="true" t="shared" si="1" ref="C8:C39">ROUND(B8*$C$70,0)</f>
        <v>16962885</v>
      </c>
      <c r="D8" s="67">
        <f aca="true" t="shared" si="2" ref="D8:D39">ROUND(C8*$C$3,0)</f>
        <v>45740152</v>
      </c>
      <c r="E8" s="69">
        <v>0.016500435084886314</v>
      </c>
      <c r="F8" s="67">
        <f aca="true" t="shared" si="3" ref="F8:F18">ROUND(E8*$E$70,0)</f>
        <v>46382393</v>
      </c>
      <c r="G8" s="70">
        <v>0.010274406682838856</v>
      </c>
      <c r="H8" s="70">
        <v>0.011719456253654378</v>
      </c>
      <c r="I8" s="67">
        <f aca="true" t="shared" si="4" ref="I8:I39">IF(AND($C$2&gt;=2250000000,H8&lt;0.01),ROUND(MAX(G8,H8)*$E$70,0),0)</f>
        <v>0</v>
      </c>
      <c r="J8" s="66">
        <f aca="true" t="shared" si="5" ref="J8:J39">IF(AND(F8&gt;C8,F8&gt;I8,D8&lt;F8),D8,0)</f>
        <v>45740152</v>
      </c>
      <c r="K8" s="67">
        <f aca="true" t="shared" si="6" ref="K8:K39">IF(AND(C8&gt;F8,C8&gt;I8),C8,0)</f>
        <v>0</v>
      </c>
      <c r="L8" s="67">
        <f aca="true" t="shared" si="7" ref="L8:L39">IF(AND(I8&gt;C8,I8&gt;F8),I8,0)</f>
        <v>0</v>
      </c>
      <c r="M8" s="67">
        <f aca="true" t="shared" si="8" ref="M8:M39">IF(AND(J8=0,K8=0,L8=0),F8,0)</f>
        <v>0</v>
      </c>
      <c r="N8" s="67">
        <f aca="true" t="shared" si="9" ref="N8:N18">SUM(J8+K8+L8+M8)</f>
        <v>45740152</v>
      </c>
      <c r="O8" s="67">
        <v>16962885</v>
      </c>
      <c r="P8" s="71">
        <f>N8-O8</f>
        <v>28777267</v>
      </c>
    </row>
    <row r="9" spans="1:16" ht="12.75">
      <c r="A9" s="9" t="s">
        <v>2</v>
      </c>
      <c r="B9" s="68">
        <v>0.00548986</v>
      </c>
      <c r="C9" s="67">
        <f t="shared" si="1"/>
        <v>10827790</v>
      </c>
      <c r="D9" s="67">
        <f t="shared" si="2"/>
        <v>29196965</v>
      </c>
      <c r="E9" s="69">
        <v>0.003173142030417604</v>
      </c>
      <c r="F9" s="67">
        <f t="shared" si="3"/>
        <v>8919639</v>
      </c>
      <c r="G9" s="70">
        <v>0.0051320460754079415</v>
      </c>
      <c r="H9" s="70">
        <v>0.004878064401215564</v>
      </c>
      <c r="I9" s="67">
        <f t="shared" si="4"/>
        <v>14426079</v>
      </c>
      <c r="J9" s="66">
        <f t="shared" si="5"/>
        <v>0</v>
      </c>
      <c r="K9" s="67">
        <f t="shared" si="6"/>
        <v>0</v>
      </c>
      <c r="L9" s="67">
        <f t="shared" si="7"/>
        <v>14426079</v>
      </c>
      <c r="M9" s="67">
        <f t="shared" si="8"/>
        <v>0</v>
      </c>
      <c r="N9" s="67">
        <f t="shared" si="9"/>
        <v>14426079</v>
      </c>
      <c r="O9" s="67">
        <v>10827790</v>
      </c>
      <c r="P9" s="71">
        <f aca="true" t="shared" si="10" ref="P9:P57">N9-O9</f>
        <v>3598289</v>
      </c>
    </row>
    <row r="10" spans="1:16" ht="12.75">
      <c r="A10" s="9" t="s">
        <v>3</v>
      </c>
      <c r="B10" s="68">
        <v>0.00415928</v>
      </c>
      <c r="C10" s="67">
        <f t="shared" si="1"/>
        <v>8203453</v>
      </c>
      <c r="D10" s="67">
        <f t="shared" si="2"/>
        <v>22120482</v>
      </c>
      <c r="E10" s="69">
        <v>0.008132345671080904</v>
      </c>
      <c r="F10" s="67">
        <f t="shared" si="3"/>
        <v>22859861</v>
      </c>
      <c r="G10" s="70">
        <v>0.004968825549802794</v>
      </c>
      <c r="H10" s="70">
        <v>0.005667668411125702</v>
      </c>
      <c r="I10" s="67">
        <f t="shared" si="4"/>
        <v>15931702</v>
      </c>
      <c r="J10" s="66">
        <f t="shared" si="5"/>
        <v>22120482</v>
      </c>
      <c r="K10" s="67">
        <f t="shared" si="6"/>
        <v>0</v>
      </c>
      <c r="L10" s="67">
        <f t="shared" si="7"/>
        <v>0</v>
      </c>
      <c r="M10" s="67">
        <f t="shared" si="8"/>
        <v>0</v>
      </c>
      <c r="N10" s="67">
        <f t="shared" si="9"/>
        <v>22120482</v>
      </c>
      <c r="O10" s="67">
        <v>8203453</v>
      </c>
      <c r="P10" s="71">
        <f t="shared" si="10"/>
        <v>13917029</v>
      </c>
    </row>
    <row r="11" spans="1:16" ht="12.75">
      <c r="A11" s="9" t="s">
        <v>4</v>
      </c>
      <c r="B11" s="68">
        <v>0.00656255</v>
      </c>
      <c r="C11" s="67">
        <f t="shared" si="1"/>
        <v>12943483</v>
      </c>
      <c r="D11" s="67">
        <f t="shared" si="2"/>
        <v>34901898</v>
      </c>
      <c r="E11" s="69">
        <v>0.00909600615194088</v>
      </c>
      <c r="F11" s="67">
        <f t="shared" si="3"/>
        <v>25568691</v>
      </c>
      <c r="G11" s="70">
        <v>0.007839858143703606</v>
      </c>
      <c r="H11" s="70">
        <v>0.008942498913323405</v>
      </c>
      <c r="I11" s="67">
        <f t="shared" si="4"/>
        <v>25137185</v>
      </c>
      <c r="J11" s="66">
        <f t="shared" si="5"/>
        <v>0</v>
      </c>
      <c r="K11" s="67">
        <f t="shared" si="6"/>
        <v>0</v>
      </c>
      <c r="L11" s="67">
        <f t="shared" si="7"/>
        <v>0</v>
      </c>
      <c r="M11" s="67">
        <f t="shared" si="8"/>
        <v>25568691</v>
      </c>
      <c r="N11" s="67">
        <f t="shared" si="9"/>
        <v>25568691</v>
      </c>
      <c r="O11" s="67">
        <v>12943483</v>
      </c>
      <c r="P11" s="71">
        <f t="shared" si="10"/>
        <v>12625208</v>
      </c>
    </row>
    <row r="12" spans="1:16" ht="12.75">
      <c r="A12" s="9" t="s">
        <v>5</v>
      </c>
      <c r="B12" s="68">
        <v>0.04613891</v>
      </c>
      <c r="C12" s="67">
        <f t="shared" si="1"/>
        <v>91000939</v>
      </c>
      <c r="D12" s="67">
        <f t="shared" si="2"/>
        <v>245382600</v>
      </c>
      <c r="E12" s="69">
        <v>0.05302706124495922</v>
      </c>
      <c r="F12" s="67">
        <f t="shared" si="3"/>
        <v>149058008</v>
      </c>
      <c r="G12" s="70">
        <v>0.05302706126678882</v>
      </c>
      <c r="H12" s="70">
        <v>0.05302706115641178</v>
      </c>
      <c r="I12" s="67">
        <f t="shared" si="4"/>
        <v>0</v>
      </c>
      <c r="J12" s="66">
        <f t="shared" si="5"/>
        <v>0</v>
      </c>
      <c r="K12" s="67">
        <f t="shared" si="6"/>
        <v>0</v>
      </c>
      <c r="L12" s="67">
        <f t="shared" si="7"/>
        <v>0</v>
      </c>
      <c r="M12" s="67">
        <f t="shared" si="8"/>
        <v>149058008</v>
      </c>
      <c r="N12" s="67">
        <f t="shared" si="9"/>
        <v>149058008</v>
      </c>
      <c r="O12" s="67">
        <v>91000939</v>
      </c>
      <c r="P12" s="71">
        <f t="shared" si="10"/>
        <v>58057069</v>
      </c>
    </row>
    <row r="13" spans="1:16" ht="12.75">
      <c r="A13" s="9" t="s">
        <v>6</v>
      </c>
      <c r="B13" s="68">
        <v>0.0160872</v>
      </c>
      <c r="C13" s="67">
        <f t="shared" si="1"/>
        <v>31729192</v>
      </c>
      <c r="D13" s="67">
        <f t="shared" si="2"/>
        <v>85557267</v>
      </c>
      <c r="E13" s="69">
        <v>0.013050192409412655</v>
      </c>
      <c r="F13" s="67">
        <f t="shared" si="3"/>
        <v>36683830</v>
      </c>
      <c r="G13" s="70">
        <v>0.015038680587586669</v>
      </c>
      <c r="H13" s="70">
        <v>0.014294425914663442</v>
      </c>
      <c r="I13" s="67">
        <f t="shared" si="4"/>
        <v>0</v>
      </c>
      <c r="J13" s="66">
        <f t="shared" si="5"/>
        <v>0</v>
      </c>
      <c r="K13" s="67">
        <f t="shared" si="6"/>
        <v>0</v>
      </c>
      <c r="L13" s="67">
        <f t="shared" si="7"/>
        <v>0</v>
      </c>
      <c r="M13" s="67">
        <f t="shared" si="8"/>
        <v>36683830</v>
      </c>
      <c r="N13" s="67">
        <f t="shared" si="9"/>
        <v>36683830</v>
      </c>
      <c r="O13" s="67">
        <v>31729192</v>
      </c>
      <c r="P13" s="71">
        <f t="shared" si="10"/>
        <v>4954638</v>
      </c>
    </row>
    <row r="14" spans="1:16" ht="12.75">
      <c r="A14" s="9" t="s">
        <v>7</v>
      </c>
      <c r="B14" s="68">
        <v>0.02098632</v>
      </c>
      <c r="C14" s="67">
        <f t="shared" si="1"/>
        <v>41391850</v>
      </c>
      <c r="D14" s="67">
        <f t="shared" si="2"/>
        <v>111612472</v>
      </c>
      <c r="E14" s="69">
        <v>0.021641444776576313</v>
      </c>
      <c r="F14" s="67">
        <f t="shared" si="3"/>
        <v>60833668</v>
      </c>
      <c r="G14" s="70">
        <v>0.021641444701207133</v>
      </c>
      <c r="H14" s="70">
        <v>0.021641444714959414</v>
      </c>
      <c r="I14" s="67">
        <f t="shared" si="4"/>
        <v>0</v>
      </c>
      <c r="J14" s="66">
        <f t="shared" si="5"/>
        <v>0</v>
      </c>
      <c r="K14" s="67">
        <f t="shared" si="6"/>
        <v>0</v>
      </c>
      <c r="L14" s="67">
        <f t="shared" si="7"/>
        <v>0</v>
      </c>
      <c r="M14" s="67">
        <f t="shared" si="8"/>
        <v>60833668</v>
      </c>
      <c r="N14" s="67">
        <f t="shared" si="9"/>
        <v>60833668</v>
      </c>
      <c r="O14" s="67">
        <v>41391850</v>
      </c>
      <c r="P14" s="71">
        <f t="shared" si="10"/>
        <v>19441818</v>
      </c>
    </row>
    <row r="15" spans="1:16" ht="12.75">
      <c r="A15" s="9" t="s">
        <v>8</v>
      </c>
      <c r="B15" s="68">
        <v>0.00278553</v>
      </c>
      <c r="C15" s="67">
        <f t="shared" si="1"/>
        <v>5493971</v>
      </c>
      <c r="D15" s="67">
        <f t="shared" si="2"/>
        <v>14814406</v>
      </c>
      <c r="E15" s="69">
        <v>0.004534179341245737</v>
      </c>
      <c r="F15" s="67">
        <f t="shared" si="3"/>
        <v>12745487</v>
      </c>
      <c r="G15" s="70">
        <v>0.0033276940194388203</v>
      </c>
      <c r="H15" s="70">
        <v>0.00379571949223706</v>
      </c>
      <c r="I15" s="67">
        <f t="shared" si="4"/>
        <v>10669692</v>
      </c>
      <c r="J15" s="66">
        <f t="shared" si="5"/>
        <v>0</v>
      </c>
      <c r="K15" s="67">
        <f t="shared" si="6"/>
        <v>0</v>
      </c>
      <c r="L15" s="67">
        <f t="shared" si="7"/>
        <v>0</v>
      </c>
      <c r="M15" s="67">
        <f t="shared" si="8"/>
        <v>12745487</v>
      </c>
      <c r="N15" s="67">
        <f t="shared" si="9"/>
        <v>12745487</v>
      </c>
      <c r="O15" s="67">
        <v>5493971</v>
      </c>
      <c r="P15" s="71">
        <f t="shared" si="10"/>
        <v>7251516</v>
      </c>
    </row>
    <row r="16" spans="1:16" ht="12.75">
      <c r="A16" s="9" t="s">
        <v>9</v>
      </c>
      <c r="B16" s="68">
        <v>0.00325921</v>
      </c>
      <c r="C16" s="67">
        <f t="shared" si="1"/>
        <v>6428222</v>
      </c>
      <c r="D16" s="67">
        <f t="shared" si="2"/>
        <v>17333599</v>
      </c>
      <c r="E16" s="69">
        <v>0.0032818275314183323</v>
      </c>
      <c r="F16" s="67">
        <f t="shared" si="3"/>
        <v>9225151</v>
      </c>
      <c r="G16" s="70">
        <v>0.0032818274824295782</v>
      </c>
      <c r="H16" s="70">
        <v>0.0032818274256895034</v>
      </c>
      <c r="I16" s="67">
        <f t="shared" si="4"/>
        <v>9225151</v>
      </c>
      <c r="J16" s="66">
        <f t="shared" si="5"/>
        <v>0</v>
      </c>
      <c r="K16" s="67">
        <f t="shared" si="6"/>
        <v>0</v>
      </c>
      <c r="L16" s="67">
        <f t="shared" si="7"/>
        <v>0</v>
      </c>
      <c r="M16" s="67">
        <f t="shared" si="8"/>
        <v>9225151</v>
      </c>
      <c r="N16" s="67">
        <f t="shared" si="9"/>
        <v>9225151</v>
      </c>
      <c r="O16" s="67">
        <v>6428222</v>
      </c>
      <c r="P16" s="71">
        <f t="shared" si="10"/>
        <v>2796929</v>
      </c>
    </row>
    <row r="17" spans="1:16" ht="12.75">
      <c r="A17" s="9" t="s">
        <v>10</v>
      </c>
      <c r="B17" s="68">
        <v>0.01360848</v>
      </c>
      <c r="C17" s="67">
        <f t="shared" si="1"/>
        <v>26840349</v>
      </c>
      <c r="D17" s="67">
        <f t="shared" si="2"/>
        <v>72374579</v>
      </c>
      <c r="E17" s="69">
        <v>0.03780988221446987</v>
      </c>
      <c r="F17" s="67">
        <f t="shared" si="3"/>
        <v>106282822</v>
      </c>
      <c r="G17" s="70">
        <v>0.016257179358279254</v>
      </c>
      <c r="H17" s="70">
        <v>0.01854367904072248</v>
      </c>
      <c r="I17" s="67">
        <f t="shared" si="4"/>
        <v>0</v>
      </c>
      <c r="J17" s="66">
        <f t="shared" si="5"/>
        <v>72374579</v>
      </c>
      <c r="K17" s="67">
        <f t="shared" si="6"/>
        <v>0</v>
      </c>
      <c r="L17" s="67">
        <f t="shared" si="7"/>
        <v>0</v>
      </c>
      <c r="M17" s="67">
        <f t="shared" si="8"/>
        <v>0</v>
      </c>
      <c r="N17" s="67">
        <f t="shared" si="9"/>
        <v>72374579</v>
      </c>
      <c r="O17" s="67">
        <v>26840349</v>
      </c>
      <c r="P17" s="71">
        <f t="shared" si="10"/>
        <v>45534230</v>
      </c>
    </row>
    <row r="18" spans="1:16" ht="12.75">
      <c r="A18" s="9" t="s">
        <v>11</v>
      </c>
      <c r="B18" s="68">
        <v>0.01075959</v>
      </c>
      <c r="C18" s="67">
        <f t="shared" si="1"/>
        <v>21221412</v>
      </c>
      <c r="D18" s="67">
        <f t="shared" si="2"/>
        <v>57223204</v>
      </c>
      <c r="E18" s="69">
        <v>0.027340526449571228</v>
      </c>
      <c r="F18" s="67">
        <f t="shared" si="3"/>
        <v>76853673</v>
      </c>
      <c r="G18" s="70">
        <v>0.012853793300654386</v>
      </c>
      <c r="H18" s="70">
        <v>0.014661622261007761</v>
      </c>
      <c r="I18" s="67">
        <f t="shared" si="4"/>
        <v>0</v>
      </c>
      <c r="J18" s="66">
        <f t="shared" si="5"/>
        <v>57223204</v>
      </c>
      <c r="K18" s="67">
        <f t="shared" si="6"/>
        <v>0</v>
      </c>
      <c r="L18" s="67">
        <f t="shared" si="7"/>
        <v>0</v>
      </c>
      <c r="M18" s="67">
        <f t="shared" si="8"/>
        <v>0</v>
      </c>
      <c r="N18" s="67">
        <f t="shared" si="9"/>
        <v>57223204</v>
      </c>
      <c r="O18" s="67">
        <v>21221412</v>
      </c>
      <c r="P18" s="71">
        <f t="shared" si="10"/>
        <v>36001792</v>
      </c>
    </row>
    <row r="19" spans="1:16" ht="12.75">
      <c r="A19" s="9" t="s">
        <v>12</v>
      </c>
      <c r="B19" s="68">
        <v>0.00108355</v>
      </c>
      <c r="C19" s="67">
        <f t="shared" si="1"/>
        <v>2137113</v>
      </c>
      <c r="D19" s="67">
        <f t="shared" si="2"/>
        <v>5762692</v>
      </c>
      <c r="E19" s="69">
        <v>0.0009915425485316437</v>
      </c>
      <c r="F19" s="67">
        <f>ROUND(E19*$E$70,0)</f>
        <v>2787206</v>
      </c>
      <c r="G19" s="70">
        <v>0.0010129285644154087</v>
      </c>
      <c r="H19" s="70">
        <v>0.0009915443853258847</v>
      </c>
      <c r="I19" s="67">
        <f t="shared" si="4"/>
        <v>2847322</v>
      </c>
      <c r="J19" s="66">
        <f t="shared" si="5"/>
        <v>0</v>
      </c>
      <c r="K19" s="67">
        <f t="shared" si="6"/>
        <v>0</v>
      </c>
      <c r="L19" s="67">
        <f t="shared" si="7"/>
        <v>2847322</v>
      </c>
      <c r="M19" s="67">
        <f t="shared" si="8"/>
        <v>0</v>
      </c>
      <c r="N19" s="67">
        <f>SUM(J19+K19+L19+M19)</f>
        <v>2847322</v>
      </c>
      <c r="O19" s="67">
        <v>2137113</v>
      </c>
      <c r="P19" s="71">
        <f t="shared" si="10"/>
        <v>710209</v>
      </c>
    </row>
    <row r="20" spans="1:16" ht="12.75">
      <c r="A20" s="9" t="s">
        <v>13</v>
      </c>
      <c r="B20" s="68">
        <v>0.00627508</v>
      </c>
      <c r="C20" s="67">
        <f t="shared" si="1"/>
        <v>12376499</v>
      </c>
      <c r="D20" s="67">
        <f t="shared" si="2"/>
        <v>33373035</v>
      </c>
      <c r="E20" s="69">
        <v>0.0033091993668426284</v>
      </c>
      <c r="F20" s="67">
        <f aca="true" t="shared" si="11" ref="F20:F58">ROUND(E20*$E$70,0)</f>
        <v>9302093</v>
      </c>
      <c r="G20" s="70">
        <v>0.00586608745831239</v>
      </c>
      <c r="H20" s="70">
        <v>0.005575778546091125</v>
      </c>
      <c r="I20" s="67">
        <f t="shared" si="4"/>
        <v>16489454</v>
      </c>
      <c r="J20" s="66">
        <f t="shared" si="5"/>
        <v>0</v>
      </c>
      <c r="K20" s="67">
        <f t="shared" si="6"/>
        <v>0</v>
      </c>
      <c r="L20" s="67">
        <f t="shared" si="7"/>
        <v>16489454</v>
      </c>
      <c r="M20" s="67">
        <f t="shared" si="8"/>
        <v>0</v>
      </c>
      <c r="N20" s="67">
        <f aca="true" t="shared" si="12" ref="N20:N57">SUM(J20+K20+L20+M20)</f>
        <v>16489454</v>
      </c>
      <c r="O20" s="67">
        <v>12376499</v>
      </c>
      <c r="P20" s="71">
        <f t="shared" si="10"/>
        <v>4112955</v>
      </c>
    </row>
    <row r="21" spans="1:16" ht="12.75">
      <c r="A21" s="9" t="s">
        <v>14</v>
      </c>
      <c r="B21" s="68">
        <v>0.05808651</v>
      </c>
      <c r="C21" s="67">
        <f t="shared" si="1"/>
        <v>114565493</v>
      </c>
      <c r="D21" s="67">
        <f t="shared" si="2"/>
        <v>308924049</v>
      </c>
      <c r="E21" s="69">
        <v>0.04998389643209187</v>
      </c>
      <c r="F21" s="67">
        <f t="shared" si="11"/>
        <v>140503732</v>
      </c>
      <c r="G21" s="70">
        <v>0.05430059030770139</v>
      </c>
      <c r="H21" s="70">
        <v>0.0516132888623635</v>
      </c>
      <c r="I21" s="67">
        <f t="shared" si="4"/>
        <v>0</v>
      </c>
      <c r="J21" s="66">
        <f t="shared" si="5"/>
        <v>0</v>
      </c>
      <c r="K21" s="67">
        <f t="shared" si="6"/>
        <v>0</v>
      </c>
      <c r="L21" s="67">
        <f t="shared" si="7"/>
        <v>0</v>
      </c>
      <c r="M21" s="67">
        <f t="shared" si="8"/>
        <v>140503732</v>
      </c>
      <c r="N21" s="67">
        <f t="shared" si="12"/>
        <v>140503732</v>
      </c>
      <c r="O21" s="67">
        <v>114565493</v>
      </c>
      <c r="P21" s="71">
        <f t="shared" si="10"/>
        <v>25938239</v>
      </c>
    </row>
    <row r="22" spans="1:16" ht="12.75">
      <c r="A22" s="9" t="s">
        <v>15</v>
      </c>
      <c r="B22" s="68">
        <v>0.02629994</v>
      </c>
      <c r="C22" s="67">
        <f t="shared" si="1"/>
        <v>51872037</v>
      </c>
      <c r="D22" s="67">
        <f t="shared" si="2"/>
        <v>139872132</v>
      </c>
      <c r="E22" s="69">
        <v>0.021277540134230336</v>
      </c>
      <c r="F22" s="67">
        <f t="shared" si="11"/>
        <v>59810739</v>
      </c>
      <c r="G22" s="70">
        <v>0.024585781947125455</v>
      </c>
      <c r="H22" s="70">
        <v>0.023369047340984318</v>
      </c>
      <c r="I22" s="67">
        <f t="shared" si="4"/>
        <v>0</v>
      </c>
      <c r="J22" s="66">
        <f t="shared" si="5"/>
        <v>0</v>
      </c>
      <c r="K22" s="67">
        <f t="shared" si="6"/>
        <v>0</v>
      </c>
      <c r="L22" s="67">
        <f t="shared" si="7"/>
        <v>0</v>
      </c>
      <c r="M22" s="67">
        <f t="shared" si="8"/>
        <v>59810739</v>
      </c>
      <c r="N22" s="67">
        <f t="shared" si="12"/>
        <v>59810739</v>
      </c>
      <c r="O22" s="67">
        <v>51872037</v>
      </c>
      <c r="P22" s="71">
        <f t="shared" si="10"/>
        <v>7938702</v>
      </c>
    </row>
    <row r="23" spans="1:16" ht="12.75">
      <c r="A23" s="9" t="s">
        <v>16</v>
      </c>
      <c r="B23" s="68">
        <v>0.01863912</v>
      </c>
      <c r="C23" s="67">
        <f t="shared" si="1"/>
        <v>36762408</v>
      </c>
      <c r="D23" s="67">
        <f t="shared" si="2"/>
        <v>99129255</v>
      </c>
      <c r="E23" s="69">
        <v>0.010638885852211817</v>
      </c>
      <c r="F23" s="67">
        <f t="shared" si="11"/>
        <v>29905695</v>
      </c>
      <c r="G23" s="70">
        <v>0.017424273254186266</v>
      </c>
      <c r="H23" s="70">
        <v>0.016561957127702167</v>
      </c>
      <c r="I23" s="67">
        <f t="shared" si="4"/>
        <v>0</v>
      </c>
      <c r="J23" s="66">
        <f t="shared" si="5"/>
        <v>0</v>
      </c>
      <c r="K23" s="67">
        <f t="shared" si="6"/>
        <v>36762408</v>
      </c>
      <c r="L23" s="67">
        <f t="shared" si="7"/>
        <v>0</v>
      </c>
      <c r="M23" s="67">
        <f t="shared" si="8"/>
        <v>0</v>
      </c>
      <c r="N23" s="67">
        <f t="shared" si="12"/>
        <v>36762408</v>
      </c>
      <c r="O23" s="67">
        <v>36762408</v>
      </c>
      <c r="P23" s="71">
        <f t="shared" si="10"/>
        <v>0</v>
      </c>
    </row>
    <row r="24" spans="1:16" ht="12.75">
      <c r="A24" s="9" t="s">
        <v>17</v>
      </c>
      <c r="B24" s="68">
        <v>0.00855992</v>
      </c>
      <c r="C24" s="67">
        <f t="shared" si="1"/>
        <v>16882947</v>
      </c>
      <c r="D24" s="67">
        <f t="shared" si="2"/>
        <v>45524601</v>
      </c>
      <c r="E24" s="69">
        <v>0.011061720370351177</v>
      </c>
      <c r="F24" s="67">
        <f t="shared" si="11"/>
        <v>31094275</v>
      </c>
      <c r="G24" s="70">
        <v>0.010225988292120779</v>
      </c>
      <c r="H24" s="70">
        <v>0.01106172021667521</v>
      </c>
      <c r="I24" s="67">
        <f t="shared" si="4"/>
        <v>0</v>
      </c>
      <c r="J24" s="66">
        <f t="shared" si="5"/>
        <v>0</v>
      </c>
      <c r="K24" s="67">
        <f t="shared" si="6"/>
        <v>0</v>
      </c>
      <c r="L24" s="67">
        <f t="shared" si="7"/>
        <v>0</v>
      </c>
      <c r="M24" s="67">
        <f t="shared" si="8"/>
        <v>31094275</v>
      </c>
      <c r="N24" s="67">
        <f t="shared" si="12"/>
        <v>31094275</v>
      </c>
      <c r="O24" s="67">
        <v>16882947</v>
      </c>
      <c r="P24" s="71">
        <f t="shared" si="10"/>
        <v>14211328</v>
      </c>
    </row>
    <row r="25" spans="1:16" ht="12.75">
      <c r="A25" s="9" t="s">
        <v>18</v>
      </c>
      <c r="B25" s="68">
        <v>0.0136864</v>
      </c>
      <c r="C25" s="67">
        <f t="shared" si="1"/>
        <v>26994033</v>
      </c>
      <c r="D25" s="67">
        <f t="shared" si="2"/>
        <v>72788985</v>
      </c>
      <c r="E25" s="69">
        <v>0.016208233609249664</v>
      </c>
      <c r="F25" s="67">
        <f t="shared" si="11"/>
        <v>45561020</v>
      </c>
      <c r="G25" s="70">
        <v>0.016208233439110594</v>
      </c>
      <c r="H25" s="70">
        <v>0.016208233384346855</v>
      </c>
      <c r="I25" s="67">
        <f t="shared" si="4"/>
        <v>0</v>
      </c>
      <c r="J25" s="66">
        <f t="shared" si="5"/>
        <v>0</v>
      </c>
      <c r="K25" s="67">
        <f t="shared" si="6"/>
        <v>0</v>
      </c>
      <c r="L25" s="67">
        <f t="shared" si="7"/>
        <v>0</v>
      </c>
      <c r="M25" s="67">
        <f t="shared" si="8"/>
        <v>45561020</v>
      </c>
      <c r="N25" s="67">
        <f t="shared" si="12"/>
        <v>45561020</v>
      </c>
      <c r="O25" s="67">
        <v>26994033</v>
      </c>
      <c r="P25" s="71">
        <f t="shared" si="10"/>
        <v>18566987</v>
      </c>
    </row>
    <row r="26" spans="1:16" ht="12.75">
      <c r="A26" s="9" t="s">
        <v>19</v>
      </c>
      <c r="B26" s="68">
        <v>0.00879264</v>
      </c>
      <c r="C26" s="67">
        <f t="shared" si="1"/>
        <v>17341946</v>
      </c>
      <c r="D26" s="67">
        <f t="shared" si="2"/>
        <v>46762284</v>
      </c>
      <c r="E26" s="69">
        <v>0.015138408868269271</v>
      </c>
      <c r="F26" s="67">
        <f t="shared" si="11"/>
        <v>42553764</v>
      </c>
      <c r="G26" s="70">
        <v>0.010504003843065143</v>
      </c>
      <c r="H26" s="70">
        <v>0.011981345094608943</v>
      </c>
      <c r="I26" s="67">
        <f t="shared" si="4"/>
        <v>0</v>
      </c>
      <c r="J26" s="66">
        <f t="shared" si="5"/>
        <v>0</v>
      </c>
      <c r="K26" s="67">
        <f t="shared" si="6"/>
        <v>0</v>
      </c>
      <c r="L26" s="67">
        <f t="shared" si="7"/>
        <v>0</v>
      </c>
      <c r="M26" s="67">
        <f t="shared" si="8"/>
        <v>42553764</v>
      </c>
      <c r="N26" s="67">
        <f t="shared" si="12"/>
        <v>42553764</v>
      </c>
      <c r="O26" s="67">
        <v>17341946</v>
      </c>
      <c r="P26" s="71">
        <f t="shared" si="10"/>
        <v>25211818</v>
      </c>
    </row>
    <row r="27" spans="1:16" ht="12.75">
      <c r="A27" s="9" t="s">
        <v>20</v>
      </c>
      <c r="B27" s="68">
        <v>0.01359579</v>
      </c>
      <c r="C27" s="67">
        <f t="shared" si="1"/>
        <v>26815321</v>
      </c>
      <c r="D27" s="67">
        <f t="shared" si="2"/>
        <v>72307091</v>
      </c>
      <c r="E27" s="69">
        <v>0.009083318519814051</v>
      </c>
      <c r="F27" s="67">
        <f t="shared" si="11"/>
        <v>25533027</v>
      </c>
      <c r="G27" s="70">
        <v>0.012709653853542982</v>
      </c>
      <c r="H27" s="70">
        <v>0.012080661222397935</v>
      </c>
      <c r="I27" s="67">
        <f t="shared" si="4"/>
        <v>0</v>
      </c>
      <c r="J27" s="66">
        <f t="shared" si="5"/>
        <v>0</v>
      </c>
      <c r="K27" s="67">
        <f t="shared" si="6"/>
        <v>26815321</v>
      </c>
      <c r="L27" s="67">
        <f t="shared" si="7"/>
        <v>0</v>
      </c>
      <c r="M27" s="67">
        <f t="shared" si="8"/>
        <v>0</v>
      </c>
      <c r="N27" s="67">
        <f t="shared" si="12"/>
        <v>26815321</v>
      </c>
      <c r="O27" s="67">
        <v>26815321</v>
      </c>
      <c r="P27" s="71">
        <f t="shared" si="10"/>
        <v>0</v>
      </c>
    </row>
    <row r="28" spans="1:16" ht="12.75">
      <c r="A28" s="9" t="s">
        <v>21</v>
      </c>
      <c r="B28" s="68">
        <v>0.01606896</v>
      </c>
      <c r="C28" s="67">
        <f t="shared" si="1"/>
        <v>31693216</v>
      </c>
      <c r="D28" s="67">
        <f t="shared" si="2"/>
        <v>85460258</v>
      </c>
      <c r="E28" s="69">
        <v>0.026516027937289206</v>
      </c>
      <c r="F28" s="67">
        <f t="shared" si="11"/>
        <v>74536024</v>
      </c>
      <c r="G28" s="70">
        <v>0.019196557457586215</v>
      </c>
      <c r="H28" s="70">
        <v>0.021896467731819264</v>
      </c>
      <c r="I28" s="67">
        <f t="shared" si="4"/>
        <v>0</v>
      </c>
      <c r="J28" s="66">
        <f t="shared" si="5"/>
        <v>0</v>
      </c>
      <c r="K28" s="67">
        <f t="shared" si="6"/>
        <v>0</v>
      </c>
      <c r="L28" s="67">
        <f t="shared" si="7"/>
        <v>0</v>
      </c>
      <c r="M28" s="67">
        <f t="shared" si="8"/>
        <v>74536024</v>
      </c>
      <c r="N28" s="67">
        <f t="shared" si="12"/>
        <v>74536024</v>
      </c>
      <c r="O28" s="67">
        <v>31693216</v>
      </c>
      <c r="P28" s="71">
        <f t="shared" si="10"/>
        <v>42842808</v>
      </c>
    </row>
    <row r="29" spans="1:16" ht="12.75">
      <c r="A29" s="9" t="s">
        <v>22</v>
      </c>
      <c r="B29" s="68">
        <v>0.04197959</v>
      </c>
      <c r="C29" s="67">
        <f t="shared" si="1"/>
        <v>82797407</v>
      </c>
      <c r="D29" s="67">
        <f t="shared" si="2"/>
        <v>223261905</v>
      </c>
      <c r="E29" s="69">
        <v>0.0331099182457358</v>
      </c>
      <c r="F29" s="67">
        <f t="shared" si="11"/>
        <v>93071317</v>
      </c>
      <c r="G29" s="70">
        <v>0.039243475136505605</v>
      </c>
      <c r="H29" s="70">
        <v>0.037301340679829986</v>
      </c>
      <c r="I29" s="67">
        <f t="shared" si="4"/>
        <v>0</v>
      </c>
      <c r="J29" s="66">
        <f t="shared" si="5"/>
        <v>0</v>
      </c>
      <c r="K29" s="67">
        <f t="shared" si="6"/>
        <v>0</v>
      </c>
      <c r="L29" s="67">
        <f t="shared" si="7"/>
        <v>0</v>
      </c>
      <c r="M29" s="67">
        <f t="shared" si="8"/>
        <v>93071317</v>
      </c>
      <c r="N29" s="67">
        <f t="shared" si="12"/>
        <v>93071317</v>
      </c>
      <c r="O29" s="67">
        <v>82797407</v>
      </c>
      <c r="P29" s="71">
        <f t="shared" si="10"/>
        <v>10273910</v>
      </c>
    </row>
    <row r="30" spans="1:16" ht="12.75">
      <c r="A30" s="9" t="s">
        <v>23</v>
      </c>
      <c r="B30" s="68">
        <v>0.05514805</v>
      </c>
      <c r="C30" s="67">
        <f t="shared" si="1"/>
        <v>108769894</v>
      </c>
      <c r="D30" s="67">
        <f t="shared" si="2"/>
        <v>293296308</v>
      </c>
      <c r="E30" s="69">
        <v>0.046451140678832964</v>
      </c>
      <c r="F30" s="67">
        <f t="shared" si="11"/>
        <v>130573227</v>
      </c>
      <c r="G30" s="70">
        <v>0.051553651079789854</v>
      </c>
      <c r="H30" s="70">
        <v>0.04900229389795982</v>
      </c>
      <c r="I30" s="67">
        <f t="shared" si="4"/>
        <v>0</v>
      </c>
      <c r="J30" s="66">
        <f t="shared" si="5"/>
        <v>0</v>
      </c>
      <c r="K30" s="67">
        <f t="shared" si="6"/>
        <v>0</v>
      </c>
      <c r="L30" s="67">
        <f t="shared" si="7"/>
        <v>0</v>
      </c>
      <c r="M30" s="67">
        <f t="shared" si="8"/>
        <v>130573227</v>
      </c>
      <c r="N30" s="67">
        <f t="shared" si="12"/>
        <v>130573227</v>
      </c>
      <c r="O30" s="67">
        <v>108769894</v>
      </c>
      <c r="P30" s="71">
        <f t="shared" si="10"/>
        <v>21803333</v>
      </c>
    </row>
    <row r="31" spans="1:16" ht="12.75">
      <c r="A31" s="9" t="s">
        <v>24</v>
      </c>
      <c r="B31" s="68">
        <v>0.03973105</v>
      </c>
      <c r="C31" s="67">
        <f t="shared" si="1"/>
        <v>78362555</v>
      </c>
      <c r="D31" s="67">
        <f t="shared" si="2"/>
        <v>211303396</v>
      </c>
      <c r="E31" s="69">
        <v>0.01916530560619649</v>
      </c>
      <c r="F31" s="67">
        <f t="shared" si="11"/>
        <v>53873290</v>
      </c>
      <c r="G31" s="70">
        <v>0.0371414889692808</v>
      </c>
      <c r="H31" s="70">
        <v>0.035303380462106924</v>
      </c>
      <c r="I31" s="67">
        <f t="shared" si="4"/>
        <v>0</v>
      </c>
      <c r="J31" s="66">
        <f t="shared" si="5"/>
        <v>0</v>
      </c>
      <c r="K31" s="67">
        <f t="shared" si="6"/>
        <v>78362555</v>
      </c>
      <c r="L31" s="67">
        <f t="shared" si="7"/>
        <v>0</v>
      </c>
      <c r="M31" s="67">
        <f t="shared" si="8"/>
        <v>0</v>
      </c>
      <c r="N31" s="67">
        <f t="shared" si="12"/>
        <v>78362555</v>
      </c>
      <c r="O31" s="67">
        <v>78362555</v>
      </c>
      <c r="P31" s="71">
        <f t="shared" si="10"/>
        <v>0</v>
      </c>
    </row>
    <row r="32" spans="1:16" ht="12.75">
      <c r="A32" s="9" t="s">
        <v>25</v>
      </c>
      <c r="B32" s="68">
        <v>0.00737355</v>
      </c>
      <c r="C32" s="67">
        <f t="shared" si="1"/>
        <v>14543039</v>
      </c>
      <c r="D32" s="67">
        <f t="shared" si="2"/>
        <v>39215076</v>
      </c>
      <c r="E32" s="69">
        <v>0.00950975071349729</v>
      </c>
      <c r="F32" s="67">
        <f t="shared" si="11"/>
        <v>26731719</v>
      </c>
      <c r="G32" s="70">
        <v>0.0088087079854095</v>
      </c>
      <c r="H32" s="70">
        <v>0.009509750687051169</v>
      </c>
      <c r="I32" s="67">
        <f t="shared" si="4"/>
        <v>26731719</v>
      </c>
      <c r="J32" s="66">
        <f t="shared" si="5"/>
        <v>0</v>
      </c>
      <c r="K32" s="67">
        <f t="shared" si="6"/>
        <v>0</v>
      </c>
      <c r="L32" s="67">
        <f t="shared" si="7"/>
        <v>0</v>
      </c>
      <c r="M32" s="67">
        <f t="shared" si="8"/>
        <v>26731719</v>
      </c>
      <c r="N32" s="67">
        <f t="shared" si="12"/>
        <v>26731719</v>
      </c>
      <c r="O32" s="67">
        <v>14543039</v>
      </c>
      <c r="P32" s="71">
        <f t="shared" si="10"/>
        <v>12188680</v>
      </c>
    </row>
    <row r="33" spans="1:16" ht="12.75">
      <c r="A33" s="9" t="s">
        <v>26</v>
      </c>
      <c r="B33" s="68">
        <v>0.02320202</v>
      </c>
      <c r="C33" s="67">
        <f t="shared" si="1"/>
        <v>45761931</v>
      </c>
      <c r="D33" s="67">
        <f t="shared" si="2"/>
        <v>123396327</v>
      </c>
      <c r="E33" s="69">
        <v>0.023088849293413195</v>
      </c>
      <c r="F33" s="67">
        <f t="shared" si="11"/>
        <v>64902293</v>
      </c>
      <c r="G33" s="70">
        <v>0.023088849110104982</v>
      </c>
      <c r="H33" s="70">
        <v>0.023088849185263785</v>
      </c>
      <c r="I33" s="67">
        <f t="shared" si="4"/>
        <v>0</v>
      </c>
      <c r="J33" s="66">
        <f t="shared" si="5"/>
        <v>0</v>
      </c>
      <c r="K33" s="67">
        <f t="shared" si="6"/>
        <v>0</v>
      </c>
      <c r="L33" s="67">
        <f t="shared" si="7"/>
        <v>0</v>
      </c>
      <c r="M33" s="67">
        <f t="shared" si="8"/>
        <v>64902293</v>
      </c>
      <c r="N33" s="67">
        <f t="shared" si="12"/>
        <v>64902293</v>
      </c>
      <c r="O33" s="67">
        <v>45761931</v>
      </c>
      <c r="P33" s="71">
        <f t="shared" si="10"/>
        <v>19140362</v>
      </c>
    </row>
    <row r="34" spans="1:16" ht="12.75">
      <c r="A34" s="9" t="s">
        <v>27</v>
      </c>
      <c r="B34" s="68">
        <v>0.00736027</v>
      </c>
      <c r="C34" s="67">
        <f t="shared" si="1"/>
        <v>14516847</v>
      </c>
      <c r="D34" s="67">
        <f t="shared" si="2"/>
        <v>39144449</v>
      </c>
      <c r="E34" s="69">
        <v>0.004406690350813241</v>
      </c>
      <c r="F34" s="67">
        <f t="shared" si="11"/>
        <v>12387118</v>
      </c>
      <c r="G34" s="70">
        <v>0.006880547893304871</v>
      </c>
      <c r="H34" s="70">
        <v>0.006540033983720866</v>
      </c>
      <c r="I34" s="67">
        <f t="shared" si="4"/>
        <v>19341082</v>
      </c>
      <c r="J34" s="66">
        <f t="shared" si="5"/>
        <v>0</v>
      </c>
      <c r="K34" s="67">
        <f t="shared" si="6"/>
        <v>0</v>
      </c>
      <c r="L34" s="67">
        <f t="shared" si="7"/>
        <v>19341082</v>
      </c>
      <c r="M34" s="67">
        <f t="shared" si="8"/>
        <v>0</v>
      </c>
      <c r="N34" s="67">
        <f t="shared" si="12"/>
        <v>19341082</v>
      </c>
      <c r="O34" s="67">
        <v>14516847</v>
      </c>
      <c r="P34" s="71">
        <f t="shared" si="10"/>
        <v>4824235</v>
      </c>
    </row>
    <row r="35" spans="1:16" ht="12.75">
      <c r="A35" s="9" t="s">
        <v>28</v>
      </c>
      <c r="B35" s="68">
        <v>0.00921776</v>
      </c>
      <c r="C35" s="67">
        <f t="shared" si="1"/>
        <v>18180421</v>
      </c>
      <c r="D35" s="67">
        <f t="shared" si="2"/>
        <v>49023219</v>
      </c>
      <c r="E35" s="69">
        <v>0.0055770274538544</v>
      </c>
      <c r="F35" s="67">
        <f t="shared" si="11"/>
        <v>15676913</v>
      </c>
      <c r="G35" s="70">
        <v>0.008616971537341795</v>
      </c>
      <c r="H35" s="70">
        <v>0.008190523133456768</v>
      </c>
      <c r="I35" s="67">
        <f t="shared" si="4"/>
        <v>24222135</v>
      </c>
      <c r="J35" s="66">
        <f t="shared" si="5"/>
        <v>0</v>
      </c>
      <c r="K35" s="67">
        <f t="shared" si="6"/>
        <v>0</v>
      </c>
      <c r="L35" s="67">
        <f t="shared" si="7"/>
        <v>24222135</v>
      </c>
      <c r="M35" s="67">
        <f t="shared" si="8"/>
        <v>0</v>
      </c>
      <c r="N35" s="67">
        <f t="shared" si="12"/>
        <v>24222135</v>
      </c>
      <c r="O35" s="67">
        <v>18180421</v>
      </c>
      <c r="P35" s="71">
        <f t="shared" si="10"/>
        <v>6041714</v>
      </c>
    </row>
    <row r="36" spans="1:16" ht="12.75">
      <c r="A36" s="9" t="s">
        <v>29</v>
      </c>
      <c r="B36" s="68">
        <v>0.00195349</v>
      </c>
      <c r="C36" s="67">
        <f t="shared" si="1"/>
        <v>3852918</v>
      </c>
      <c r="D36" s="67">
        <f t="shared" si="2"/>
        <v>10389333</v>
      </c>
      <c r="E36" s="69">
        <v>0.005764038752809477</v>
      </c>
      <c r="F36" s="67">
        <f t="shared" si="11"/>
        <v>16202598</v>
      </c>
      <c r="G36" s="70">
        <v>0.0023337095562285495</v>
      </c>
      <c r="H36" s="70">
        <v>0.002661935414668623</v>
      </c>
      <c r="I36" s="67">
        <f t="shared" si="4"/>
        <v>7482647</v>
      </c>
      <c r="J36" s="66">
        <f t="shared" si="5"/>
        <v>10389333</v>
      </c>
      <c r="K36" s="67">
        <f t="shared" si="6"/>
        <v>0</v>
      </c>
      <c r="L36" s="67">
        <f t="shared" si="7"/>
        <v>0</v>
      </c>
      <c r="M36" s="67">
        <f t="shared" si="8"/>
        <v>0</v>
      </c>
      <c r="N36" s="67">
        <f t="shared" si="12"/>
        <v>10389333</v>
      </c>
      <c r="O36" s="67">
        <v>3852918</v>
      </c>
      <c r="P36" s="71">
        <f t="shared" si="10"/>
        <v>6536415</v>
      </c>
    </row>
    <row r="37" spans="1:16" ht="12.75">
      <c r="A37" s="9" t="s">
        <v>30</v>
      </c>
      <c r="B37" s="68">
        <v>0.00794588</v>
      </c>
      <c r="C37" s="67">
        <f t="shared" si="1"/>
        <v>15671860</v>
      </c>
      <c r="D37" s="67">
        <f t="shared" si="2"/>
        <v>42258924</v>
      </c>
      <c r="E37" s="69">
        <v>0.005028556972534821</v>
      </c>
      <c r="F37" s="67">
        <f t="shared" si="11"/>
        <v>14135173</v>
      </c>
      <c r="G37" s="70">
        <v>0.0074279892394794045</v>
      </c>
      <c r="H37" s="70">
        <v>0.0070603828082031654</v>
      </c>
      <c r="I37" s="67">
        <f t="shared" si="4"/>
        <v>20879929</v>
      </c>
      <c r="J37" s="66">
        <f t="shared" si="5"/>
        <v>0</v>
      </c>
      <c r="K37" s="67">
        <f t="shared" si="6"/>
        <v>0</v>
      </c>
      <c r="L37" s="67">
        <f t="shared" si="7"/>
        <v>20879929</v>
      </c>
      <c r="M37" s="67">
        <f t="shared" si="8"/>
        <v>0</v>
      </c>
      <c r="N37" s="67">
        <f t="shared" si="12"/>
        <v>20879929</v>
      </c>
      <c r="O37" s="67">
        <v>15671860</v>
      </c>
      <c r="P37" s="71">
        <f t="shared" si="10"/>
        <v>5208069</v>
      </c>
    </row>
    <row r="38" spans="1:16" ht="12.75">
      <c r="A38" s="9" t="s">
        <v>31</v>
      </c>
      <c r="B38" s="68">
        <v>0.03897152</v>
      </c>
      <c r="C38" s="67">
        <f t="shared" si="1"/>
        <v>76864515</v>
      </c>
      <c r="D38" s="67">
        <f t="shared" si="2"/>
        <v>207263955</v>
      </c>
      <c r="E38" s="69">
        <v>0.0362116331931015</v>
      </c>
      <c r="F38" s="67">
        <f t="shared" si="11"/>
        <v>101790176</v>
      </c>
      <c r="G38" s="70">
        <v>0.0364314631650489</v>
      </c>
      <c r="H38" s="70">
        <v>0.03621163303048534</v>
      </c>
      <c r="I38" s="67">
        <f t="shared" si="4"/>
        <v>0</v>
      </c>
      <c r="J38" s="66">
        <f t="shared" si="5"/>
        <v>0</v>
      </c>
      <c r="K38" s="67">
        <f t="shared" si="6"/>
        <v>0</v>
      </c>
      <c r="L38" s="67">
        <f t="shared" si="7"/>
        <v>0</v>
      </c>
      <c r="M38" s="67">
        <f t="shared" si="8"/>
        <v>101790176</v>
      </c>
      <c r="N38" s="67">
        <f t="shared" si="12"/>
        <v>101790176</v>
      </c>
      <c r="O38" s="67">
        <v>76864515</v>
      </c>
      <c r="P38" s="71">
        <f t="shared" si="10"/>
        <v>24925661</v>
      </c>
    </row>
    <row r="39" spans="1:16" ht="12.75">
      <c r="A39" s="9" t="s">
        <v>32</v>
      </c>
      <c r="B39" s="68">
        <v>0.00520713</v>
      </c>
      <c r="C39" s="67">
        <f t="shared" si="1"/>
        <v>10270154</v>
      </c>
      <c r="D39" s="67">
        <f t="shared" si="2"/>
        <v>27693309</v>
      </c>
      <c r="E39" s="69">
        <v>0.005773690252772034</v>
      </c>
      <c r="F39" s="67">
        <f t="shared" si="11"/>
        <v>16229728</v>
      </c>
      <c r="G39" s="70">
        <v>0.005773690352524574</v>
      </c>
      <c r="H39" s="70">
        <v>0.005773690430755235</v>
      </c>
      <c r="I39" s="67">
        <f t="shared" si="4"/>
        <v>16229728</v>
      </c>
      <c r="J39" s="66">
        <f t="shared" si="5"/>
        <v>0</v>
      </c>
      <c r="K39" s="67">
        <f t="shared" si="6"/>
        <v>0</v>
      </c>
      <c r="L39" s="67">
        <f t="shared" si="7"/>
        <v>0</v>
      </c>
      <c r="M39" s="67">
        <f t="shared" si="8"/>
        <v>16229728</v>
      </c>
      <c r="N39" s="67">
        <f t="shared" si="12"/>
        <v>16229728</v>
      </c>
      <c r="O39" s="67">
        <v>10270154</v>
      </c>
      <c r="P39" s="71">
        <f t="shared" si="10"/>
        <v>5959574</v>
      </c>
    </row>
    <row r="40" spans="1:16" ht="12.75">
      <c r="A40" s="9" t="s">
        <v>33</v>
      </c>
      <c r="B40" s="68">
        <v>0.12724791</v>
      </c>
      <c r="C40" s="67">
        <f>ROUND(B40*$C$70,0)</f>
        <v>250974272</v>
      </c>
      <c r="D40" s="67">
        <f aca="true" t="shared" si="13" ref="D40:D58">ROUND(C40*$C$3,0)</f>
        <v>676748175</v>
      </c>
      <c r="E40" s="69">
        <v>0.0939266680990415</v>
      </c>
      <c r="F40" s="67">
        <f>ROUND(E40*$E$70,0)-1</f>
        <v>264025983</v>
      </c>
      <c r="G40" s="70">
        <v>0.11895423975215305</v>
      </c>
      <c r="H40" s="70">
        <v>0.11306726969289793</v>
      </c>
      <c r="I40" s="67">
        <f aca="true" t="shared" si="14" ref="I40:I58">IF(AND($C$2&gt;=2250000000,H40&lt;0.01),ROUND(MAX(G40,H40)*$E$70,0),0)</f>
        <v>0</v>
      </c>
      <c r="J40" s="66">
        <f aca="true" t="shared" si="15" ref="J40:J58">IF(AND(F40&gt;C40,F40&gt;I40,D40&lt;F40),D40,0)</f>
        <v>0</v>
      </c>
      <c r="K40" s="67">
        <f aca="true" t="shared" si="16" ref="K40:K58">IF(AND(C40&gt;F40,C40&gt;I40),C40,0)</f>
        <v>0</v>
      </c>
      <c r="L40" s="67">
        <f aca="true" t="shared" si="17" ref="L40:L58">IF(AND(I40&gt;C40,I40&gt;F40),I40,0)</f>
        <v>0</v>
      </c>
      <c r="M40" s="67">
        <f aca="true" t="shared" si="18" ref="M40:M58">IF(AND(J40=0,K40=0,L40=0),F40,0)</f>
        <v>264025983</v>
      </c>
      <c r="N40" s="67">
        <f t="shared" si="12"/>
        <v>264025983</v>
      </c>
      <c r="O40" s="67">
        <v>250974272</v>
      </c>
      <c r="P40" s="71">
        <f t="shared" si="10"/>
        <v>13051711</v>
      </c>
    </row>
    <row r="41" spans="1:16" ht="12.75">
      <c r="A41" s="9" t="s">
        <v>34</v>
      </c>
      <c r="B41" s="68">
        <v>0.0189638</v>
      </c>
      <c r="C41" s="67">
        <f aca="true" t="shared" si="19" ref="C41:C57">ROUND(B41*$C$70,0)</f>
        <v>37402782</v>
      </c>
      <c r="D41" s="67">
        <f t="shared" si="13"/>
        <v>100856013</v>
      </c>
      <c r="E41" s="69">
        <v>0.03260847774178984</v>
      </c>
      <c r="F41" s="67">
        <f t="shared" si="11"/>
        <v>91661778</v>
      </c>
      <c r="G41" s="70">
        <v>0.022654837282112317</v>
      </c>
      <c r="H41" s="70">
        <v>0.025841139115326907</v>
      </c>
      <c r="I41" s="67">
        <f t="shared" si="14"/>
        <v>0</v>
      </c>
      <c r="J41" s="66">
        <f t="shared" si="15"/>
        <v>0</v>
      </c>
      <c r="K41" s="67">
        <f t="shared" si="16"/>
        <v>0</v>
      </c>
      <c r="L41" s="67">
        <f t="shared" si="17"/>
        <v>0</v>
      </c>
      <c r="M41" s="67">
        <f t="shared" si="18"/>
        <v>91661778</v>
      </c>
      <c r="N41" s="67">
        <f t="shared" si="12"/>
        <v>91661778</v>
      </c>
      <c r="O41" s="67">
        <v>37402782</v>
      </c>
      <c r="P41" s="71">
        <f t="shared" si="10"/>
        <v>54258996</v>
      </c>
    </row>
    <row r="42" spans="1:16" ht="12.75">
      <c r="A42" s="9" t="s">
        <v>35</v>
      </c>
      <c r="B42" s="68">
        <v>0.00799548</v>
      </c>
      <c r="C42" s="67">
        <f t="shared" si="19"/>
        <v>15769687</v>
      </c>
      <c r="D42" s="67">
        <f t="shared" si="13"/>
        <v>42522713</v>
      </c>
      <c r="E42" s="69">
        <v>0.0027277043042167374</v>
      </c>
      <c r="F42" s="67">
        <f t="shared" si="11"/>
        <v>7667522</v>
      </c>
      <c r="G42" s="70">
        <v>0.007474356288657394</v>
      </c>
      <c r="H42" s="70">
        <v>0.007104455181806432</v>
      </c>
      <c r="I42" s="67">
        <f t="shared" si="14"/>
        <v>21010266</v>
      </c>
      <c r="J42" s="66">
        <f t="shared" si="15"/>
        <v>0</v>
      </c>
      <c r="K42" s="67">
        <f t="shared" si="16"/>
        <v>0</v>
      </c>
      <c r="L42" s="67">
        <f t="shared" si="17"/>
        <v>21010266</v>
      </c>
      <c r="M42" s="67">
        <f t="shared" si="18"/>
        <v>0</v>
      </c>
      <c r="N42" s="67">
        <f t="shared" si="12"/>
        <v>21010266</v>
      </c>
      <c r="O42" s="67">
        <v>15769687</v>
      </c>
      <c r="P42" s="71">
        <f t="shared" si="10"/>
        <v>5240579</v>
      </c>
    </row>
    <row r="43" spans="1:16" ht="12.75">
      <c r="A43" s="9" t="s">
        <v>36</v>
      </c>
      <c r="B43" s="68">
        <v>0.0513862</v>
      </c>
      <c r="C43" s="67">
        <f t="shared" si="19"/>
        <v>101350302</v>
      </c>
      <c r="D43" s="67">
        <f t="shared" si="13"/>
        <v>273289495</v>
      </c>
      <c r="E43" s="69">
        <v>0.04803088523563409</v>
      </c>
      <c r="F43" s="67">
        <f t="shared" si="11"/>
        <v>135013857</v>
      </c>
      <c r="G43" s="70">
        <v>0.048036988122277</v>
      </c>
      <c r="H43" s="70">
        <v>0.04803088520869124</v>
      </c>
      <c r="I43" s="67">
        <f t="shared" si="14"/>
        <v>0</v>
      </c>
      <c r="J43" s="66">
        <f t="shared" si="15"/>
        <v>0</v>
      </c>
      <c r="K43" s="67">
        <f t="shared" si="16"/>
        <v>0</v>
      </c>
      <c r="L43" s="67">
        <f t="shared" si="17"/>
        <v>0</v>
      </c>
      <c r="M43" s="67">
        <f t="shared" si="18"/>
        <v>135013857</v>
      </c>
      <c r="N43" s="67">
        <f t="shared" si="12"/>
        <v>135013857</v>
      </c>
      <c r="O43" s="67">
        <v>101350302</v>
      </c>
      <c r="P43" s="71">
        <f t="shared" si="10"/>
        <v>33663555</v>
      </c>
    </row>
    <row r="44" spans="1:16" ht="12.75">
      <c r="A44" s="9" t="s">
        <v>37</v>
      </c>
      <c r="B44" s="68">
        <v>0.00790558</v>
      </c>
      <c r="C44" s="67">
        <f t="shared" si="19"/>
        <v>15592375</v>
      </c>
      <c r="D44" s="67">
        <f t="shared" si="13"/>
        <v>42044594</v>
      </c>
      <c r="E44" s="69">
        <v>0.01275065083787214</v>
      </c>
      <c r="F44" s="67">
        <f t="shared" si="11"/>
        <v>35841824</v>
      </c>
      <c r="G44" s="70">
        <v>0.009444290188058077</v>
      </c>
      <c r="H44" s="70">
        <v>0.010772587028850313</v>
      </c>
      <c r="I44" s="67">
        <f t="shared" si="14"/>
        <v>0</v>
      </c>
      <c r="J44" s="66">
        <f t="shared" si="15"/>
        <v>0</v>
      </c>
      <c r="K44" s="67">
        <f t="shared" si="16"/>
        <v>0</v>
      </c>
      <c r="L44" s="67">
        <f t="shared" si="17"/>
        <v>0</v>
      </c>
      <c r="M44" s="67">
        <f t="shared" si="18"/>
        <v>35841824</v>
      </c>
      <c r="N44" s="67">
        <f t="shared" si="12"/>
        <v>35841824</v>
      </c>
      <c r="O44" s="67">
        <v>15592375</v>
      </c>
      <c r="P44" s="71">
        <f t="shared" si="10"/>
        <v>20249449</v>
      </c>
    </row>
    <row r="45" spans="1:16" ht="12.75">
      <c r="A45" s="9" t="s">
        <v>38</v>
      </c>
      <c r="B45" s="68">
        <v>0.01246826</v>
      </c>
      <c r="C45" s="67">
        <f t="shared" si="19"/>
        <v>24591465</v>
      </c>
      <c r="D45" s="67">
        <f t="shared" si="13"/>
        <v>66310498</v>
      </c>
      <c r="E45" s="69">
        <v>0.007501688276528692</v>
      </c>
      <c r="F45" s="67">
        <f t="shared" si="11"/>
        <v>21087096</v>
      </c>
      <c r="G45" s="70">
        <v>0.011655613143751565</v>
      </c>
      <c r="H45" s="70">
        <v>0.011078784312425573</v>
      </c>
      <c r="I45" s="67">
        <f t="shared" si="14"/>
        <v>0</v>
      </c>
      <c r="J45" s="66">
        <f t="shared" si="15"/>
        <v>0</v>
      </c>
      <c r="K45" s="67">
        <f t="shared" si="16"/>
        <v>24591465</v>
      </c>
      <c r="L45" s="67">
        <f t="shared" si="17"/>
        <v>0</v>
      </c>
      <c r="M45" s="67">
        <f t="shared" si="18"/>
        <v>0</v>
      </c>
      <c r="N45" s="67">
        <f t="shared" si="12"/>
        <v>24591465</v>
      </c>
      <c r="O45" s="67">
        <v>24591465</v>
      </c>
      <c r="P45" s="71">
        <f t="shared" si="10"/>
        <v>0</v>
      </c>
    </row>
    <row r="46" spans="1:16" ht="12.75">
      <c r="A46" s="9" t="s">
        <v>39</v>
      </c>
      <c r="B46" s="68">
        <v>0.0683509</v>
      </c>
      <c r="C46" s="67">
        <f t="shared" si="19"/>
        <v>134810209</v>
      </c>
      <c r="D46" s="67">
        <f t="shared" si="13"/>
        <v>363513607</v>
      </c>
      <c r="E46" s="69">
        <v>0.057310664739203716</v>
      </c>
      <c r="F46" s="67">
        <f t="shared" si="11"/>
        <v>161099131</v>
      </c>
      <c r="G46" s="70">
        <v>0.06389597545051894</v>
      </c>
      <c r="H46" s="70">
        <v>0.06073380453844506</v>
      </c>
      <c r="I46" s="67">
        <f t="shared" si="14"/>
        <v>0</v>
      </c>
      <c r="J46" s="66">
        <f t="shared" si="15"/>
        <v>0</v>
      </c>
      <c r="K46" s="67">
        <f t="shared" si="16"/>
        <v>0</v>
      </c>
      <c r="L46" s="67">
        <f t="shared" si="17"/>
        <v>0</v>
      </c>
      <c r="M46" s="67">
        <f t="shared" si="18"/>
        <v>161099131</v>
      </c>
      <c r="N46" s="67">
        <f t="shared" si="12"/>
        <v>161099131</v>
      </c>
      <c r="O46" s="67">
        <v>134810209</v>
      </c>
      <c r="P46" s="71">
        <f t="shared" si="10"/>
        <v>26288922</v>
      </c>
    </row>
    <row r="47" spans="1:16" ht="12.75">
      <c r="A47" s="9" t="s">
        <v>40</v>
      </c>
      <c r="B47" s="68">
        <v>0.00691008</v>
      </c>
      <c r="C47" s="67">
        <f t="shared" si="19"/>
        <v>13628926</v>
      </c>
      <c r="D47" s="67">
        <f t="shared" si="13"/>
        <v>36750184</v>
      </c>
      <c r="E47" s="69">
        <v>0.006652894019378319</v>
      </c>
      <c r="F47" s="67">
        <f t="shared" si="11"/>
        <v>18701152</v>
      </c>
      <c r="G47" s="70">
        <v>0.006652894009491331</v>
      </c>
      <c r="H47" s="70">
        <v>0.006652893895614809</v>
      </c>
      <c r="I47" s="67">
        <f t="shared" si="14"/>
        <v>18701152</v>
      </c>
      <c r="J47" s="66">
        <f t="shared" si="15"/>
        <v>0</v>
      </c>
      <c r="K47" s="67">
        <f t="shared" si="16"/>
        <v>0</v>
      </c>
      <c r="L47" s="67">
        <f t="shared" si="17"/>
        <v>0</v>
      </c>
      <c r="M47" s="67">
        <f t="shared" si="18"/>
        <v>18701152</v>
      </c>
      <c r="N47" s="67">
        <f t="shared" si="12"/>
        <v>18701152</v>
      </c>
      <c r="O47" s="67">
        <v>13628926</v>
      </c>
      <c r="P47" s="71">
        <f t="shared" si="10"/>
        <v>5072226</v>
      </c>
    </row>
    <row r="48" spans="1:16" ht="12.75">
      <c r="A48" s="9" t="s">
        <v>41</v>
      </c>
      <c r="B48" s="68">
        <v>0.00683051</v>
      </c>
      <c r="C48" s="67">
        <f t="shared" si="19"/>
        <v>13471988</v>
      </c>
      <c r="D48" s="67">
        <f t="shared" si="13"/>
        <v>36327004</v>
      </c>
      <c r="E48" s="69">
        <v>0.013490604431374306</v>
      </c>
      <c r="F48" s="67">
        <f t="shared" si="11"/>
        <v>37921819</v>
      </c>
      <c r="G48" s="70">
        <v>0.008159973119235626</v>
      </c>
      <c r="H48" s="70">
        <v>0.009307636863979486</v>
      </c>
      <c r="I48" s="67">
        <f t="shared" si="14"/>
        <v>26163581</v>
      </c>
      <c r="J48" s="66">
        <f t="shared" si="15"/>
        <v>36327004</v>
      </c>
      <c r="K48" s="67">
        <f t="shared" si="16"/>
        <v>0</v>
      </c>
      <c r="L48" s="67">
        <f t="shared" si="17"/>
        <v>0</v>
      </c>
      <c r="M48" s="67">
        <f t="shared" si="18"/>
        <v>0</v>
      </c>
      <c r="N48" s="67">
        <f t="shared" si="12"/>
        <v>36327004</v>
      </c>
      <c r="O48" s="67">
        <v>13471988</v>
      </c>
      <c r="P48" s="71">
        <f t="shared" si="10"/>
        <v>22855016</v>
      </c>
    </row>
    <row r="49" spans="1:16" ht="12.75">
      <c r="A49" s="9" t="s">
        <v>42</v>
      </c>
      <c r="B49" s="68">
        <v>0.00649373</v>
      </c>
      <c r="C49" s="67">
        <f t="shared" si="19"/>
        <v>12807748</v>
      </c>
      <c r="D49" s="67">
        <f t="shared" si="13"/>
        <v>34535891</v>
      </c>
      <c r="E49" s="69">
        <v>0.002345908463344638</v>
      </c>
      <c r="F49" s="67">
        <f t="shared" si="11"/>
        <v>6594302</v>
      </c>
      <c r="G49" s="70">
        <v>0.006070486485073493</v>
      </c>
      <c r="H49" s="70">
        <v>0.005770061995895731</v>
      </c>
      <c r="I49" s="67">
        <f t="shared" si="14"/>
        <v>17064016</v>
      </c>
      <c r="J49" s="66">
        <f t="shared" si="15"/>
        <v>0</v>
      </c>
      <c r="K49" s="67">
        <f t="shared" si="16"/>
        <v>0</v>
      </c>
      <c r="L49" s="67">
        <f t="shared" si="17"/>
        <v>17064016</v>
      </c>
      <c r="M49" s="67">
        <f t="shared" si="18"/>
        <v>0</v>
      </c>
      <c r="N49" s="67">
        <f t="shared" si="12"/>
        <v>17064016</v>
      </c>
      <c r="O49" s="67">
        <v>12807748</v>
      </c>
      <c r="P49" s="71">
        <f t="shared" si="10"/>
        <v>4256268</v>
      </c>
    </row>
    <row r="50" spans="1:16" ht="12.75">
      <c r="A50" s="9" t="s">
        <v>43</v>
      </c>
      <c r="B50" s="68">
        <v>0.01386403</v>
      </c>
      <c r="C50" s="67">
        <f t="shared" si="19"/>
        <v>27344377</v>
      </c>
      <c r="D50" s="67">
        <f t="shared" si="13"/>
        <v>73733682</v>
      </c>
      <c r="E50" s="69">
        <v>0.0180132045870658</v>
      </c>
      <c r="F50" s="67">
        <f t="shared" si="11"/>
        <v>50634758</v>
      </c>
      <c r="G50" s="70">
        <v>0.016562469030661442</v>
      </c>
      <c r="H50" s="70">
        <v>0.018013204477240655</v>
      </c>
      <c r="I50" s="67">
        <f t="shared" si="14"/>
        <v>0</v>
      </c>
      <c r="J50" s="66">
        <f t="shared" si="15"/>
        <v>0</v>
      </c>
      <c r="K50" s="67">
        <f t="shared" si="16"/>
        <v>0</v>
      </c>
      <c r="L50" s="67">
        <f t="shared" si="17"/>
        <v>0</v>
      </c>
      <c r="M50" s="67">
        <f t="shared" si="18"/>
        <v>50634758</v>
      </c>
      <c r="N50" s="67">
        <f t="shared" si="12"/>
        <v>50634758</v>
      </c>
      <c r="O50" s="67">
        <v>27344377</v>
      </c>
      <c r="P50" s="71">
        <f t="shared" si="10"/>
        <v>23290381</v>
      </c>
    </row>
    <row r="51" spans="1:16" ht="12.75">
      <c r="A51" s="9" t="s">
        <v>44</v>
      </c>
      <c r="B51" s="68">
        <v>0.02263997</v>
      </c>
      <c r="C51" s="67">
        <f t="shared" si="19"/>
        <v>44653386</v>
      </c>
      <c r="D51" s="67">
        <f t="shared" si="13"/>
        <v>120407153</v>
      </c>
      <c r="E51" s="69">
        <v>0.06524055385169238</v>
      </c>
      <c r="F51" s="67">
        <f t="shared" si="11"/>
        <v>183389891</v>
      </c>
      <c r="G51" s="70">
        <v>0.027046522534515532</v>
      </c>
      <c r="H51" s="70">
        <v>0.030850495282845017</v>
      </c>
      <c r="I51" s="67">
        <f t="shared" si="14"/>
        <v>0</v>
      </c>
      <c r="J51" s="66">
        <f t="shared" si="15"/>
        <v>120407153</v>
      </c>
      <c r="K51" s="67">
        <f t="shared" si="16"/>
        <v>0</v>
      </c>
      <c r="L51" s="67">
        <f t="shared" si="17"/>
        <v>0</v>
      </c>
      <c r="M51" s="67">
        <f t="shared" si="18"/>
        <v>0</v>
      </c>
      <c r="N51" s="67">
        <f t="shared" si="12"/>
        <v>120407153</v>
      </c>
      <c r="O51" s="67">
        <v>44653386</v>
      </c>
      <c r="P51" s="71">
        <f t="shared" si="10"/>
        <v>75753767</v>
      </c>
    </row>
    <row r="52" spans="1:16" ht="12.75">
      <c r="A52" s="9" t="s">
        <v>45</v>
      </c>
      <c r="B52" s="68">
        <v>0.00747576</v>
      </c>
      <c r="C52" s="67">
        <f t="shared" si="19"/>
        <v>14744631</v>
      </c>
      <c r="D52" s="67">
        <f t="shared" si="13"/>
        <v>39758665</v>
      </c>
      <c r="E52" s="69">
        <v>0.005988489869124835</v>
      </c>
      <c r="F52" s="67">
        <f t="shared" si="11"/>
        <v>16833525</v>
      </c>
      <c r="G52" s="70">
        <v>0.0069885106431587865</v>
      </c>
      <c r="H52" s="70">
        <v>0.0066426537262137</v>
      </c>
      <c r="I52" s="67">
        <f t="shared" si="14"/>
        <v>19644564</v>
      </c>
      <c r="J52" s="66">
        <f t="shared" si="15"/>
        <v>0</v>
      </c>
      <c r="K52" s="67">
        <f t="shared" si="16"/>
        <v>0</v>
      </c>
      <c r="L52" s="67">
        <f t="shared" si="17"/>
        <v>19644564</v>
      </c>
      <c r="M52" s="67">
        <f t="shared" si="18"/>
        <v>0</v>
      </c>
      <c r="N52" s="67">
        <f t="shared" si="12"/>
        <v>19644564</v>
      </c>
      <c r="O52" s="67">
        <v>14744631</v>
      </c>
      <c r="P52" s="71">
        <f t="shared" si="10"/>
        <v>4899933</v>
      </c>
    </row>
    <row r="53" spans="1:16" ht="12.75">
      <c r="A53" s="9" t="s">
        <v>46</v>
      </c>
      <c r="B53" s="68">
        <v>0.00595572</v>
      </c>
      <c r="C53" s="67">
        <f t="shared" si="19"/>
        <v>11746617</v>
      </c>
      <c r="D53" s="67">
        <f t="shared" si="13"/>
        <v>31674568</v>
      </c>
      <c r="E53" s="69">
        <v>0.0031853641645897077</v>
      </c>
      <c r="F53" s="67">
        <f t="shared" si="11"/>
        <v>8953995</v>
      </c>
      <c r="G53" s="70">
        <v>0.005567542376992</v>
      </c>
      <c r="H53" s="70">
        <v>0.0052920082696850945</v>
      </c>
      <c r="I53" s="67">
        <f t="shared" si="14"/>
        <v>15650250</v>
      </c>
      <c r="J53" s="66">
        <f t="shared" si="15"/>
        <v>0</v>
      </c>
      <c r="K53" s="67">
        <f t="shared" si="16"/>
        <v>0</v>
      </c>
      <c r="L53" s="67">
        <f t="shared" si="17"/>
        <v>15650250</v>
      </c>
      <c r="M53" s="67">
        <f t="shared" si="18"/>
        <v>0</v>
      </c>
      <c r="N53" s="67">
        <f t="shared" si="12"/>
        <v>15650250</v>
      </c>
      <c r="O53" s="67">
        <v>11746617</v>
      </c>
      <c r="P53" s="71">
        <f t="shared" si="10"/>
        <v>3903633</v>
      </c>
    </row>
    <row r="54" spans="1:16" ht="12.75">
      <c r="A54" s="9" t="s">
        <v>47</v>
      </c>
      <c r="B54" s="68">
        <v>0.01957379</v>
      </c>
      <c r="C54" s="67">
        <f t="shared" si="19"/>
        <v>38605881</v>
      </c>
      <c r="D54" s="67">
        <f t="shared" si="13"/>
        <v>104100151</v>
      </c>
      <c r="E54" s="69">
        <v>0.030411877718134073</v>
      </c>
      <c r="F54" s="67">
        <f t="shared" si="11"/>
        <v>85487180</v>
      </c>
      <c r="G54" s="70">
        <v>0.023383553613675983</v>
      </c>
      <c r="H54" s="70">
        <v>0.026672345784425136</v>
      </c>
      <c r="I54" s="67">
        <f t="shared" si="14"/>
        <v>0</v>
      </c>
      <c r="J54" s="66">
        <f t="shared" si="15"/>
        <v>0</v>
      </c>
      <c r="K54" s="67">
        <f t="shared" si="16"/>
        <v>0</v>
      </c>
      <c r="L54" s="67">
        <f t="shared" si="17"/>
        <v>0</v>
      </c>
      <c r="M54" s="67">
        <f t="shared" si="18"/>
        <v>85487180</v>
      </c>
      <c r="N54" s="67">
        <f t="shared" si="12"/>
        <v>85487180</v>
      </c>
      <c r="O54" s="67">
        <v>38605881</v>
      </c>
      <c r="P54" s="71">
        <f t="shared" si="10"/>
        <v>46881299</v>
      </c>
    </row>
    <row r="55" spans="1:16" ht="12.75">
      <c r="A55" s="9" t="s">
        <v>48</v>
      </c>
      <c r="B55" s="68">
        <v>0.02050857</v>
      </c>
      <c r="C55" s="67">
        <f t="shared" si="19"/>
        <v>40449571</v>
      </c>
      <c r="D55" s="67">
        <f t="shared" si="13"/>
        <v>109071632</v>
      </c>
      <c r="E55" s="69">
        <v>0.012037321515844442</v>
      </c>
      <c r="F55" s="67">
        <f t="shared" si="11"/>
        <v>33836670</v>
      </c>
      <c r="G55" s="70">
        <v>0.019171877373174478</v>
      </c>
      <c r="H55" s="70">
        <v>0.018223073437842942</v>
      </c>
      <c r="I55" s="67">
        <f t="shared" si="14"/>
        <v>0</v>
      </c>
      <c r="J55" s="66">
        <f t="shared" si="15"/>
        <v>0</v>
      </c>
      <c r="K55" s="67">
        <f t="shared" si="16"/>
        <v>40449571</v>
      </c>
      <c r="L55" s="67">
        <f t="shared" si="17"/>
        <v>0</v>
      </c>
      <c r="M55" s="67">
        <f t="shared" si="18"/>
        <v>0</v>
      </c>
      <c r="N55" s="67">
        <f t="shared" si="12"/>
        <v>40449571</v>
      </c>
      <c r="O55" s="67">
        <v>40449571</v>
      </c>
      <c r="P55" s="71">
        <f t="shared" si="10"/>
        <v>0</v>
      </c>
    </row>
    <row r="56" spans="1:16" ht="12.75">
      <c r="A56" s="9" t="s">
        <v>49</v>
      </c>
      <c r="B56" s="68">
        <v>0.00905733</v>
      </c>
      <c r="C56" s="67">
        <f t="shared" si="19"/>
        <v>17864001</v>
      </c>
      <c r="D56" s="67">
        <f t="shared" si="13"/>
        <v>48169998</v>
      </c>
      <c r="E56" s="69">
        <v>0.009071691054050611</v>
      </c>
      <c r="F56" s="67">
        <f t="shared" si="11"/>
        <v>25500342</v>
      </c>
      <c r="G56" s="70">
        <v>0.009071691108376629</v>
      </c>
      <c r="H56" s="70">
        <v>0.009071690836705644</v>
      </c>
      <c r="I56" s="67">
        <f t="shared" si="14"/>
        <v>25500342</v>
      </c>
      <c r="J56" s="66">
        <f t="shared" si="15"/>
        <v>0</v>
      </c>
      <c r="K56" s="67">
        <f t="shared" si="16"/>
        <v>0</v>
      </c>
      <c r="L56" s="67">
        <f t="shared" si="17"/>
        <v>0</v>
      </c>
      <c r="M56" s="67">
        <f t="shared" si="18"/>
        <v>25500342</v>
      </c>
      <c r="N56" s="67">
        <f t="shared" si="12"/>
        <v>25500342</v>
      </c>
      <c r="O56" s="67">
        <v>17864001</v>
      </c>
      <c r="P56" s="71">
        <f t="shared" si="10"/>
        <v>7636341</v>
      </c>
    </row>
    <row r="57" spans="1:16" ht="12.75">
      <c r="A57" s="9" t="s">
        <v>50</v>
      </c>
      <c r="B57" s="68">
        <v>0.03576365</v>
      </c>
      <c r="C57" s="67">
        <f t="shared" si="19"/>
        <v>70537552</v>
      </c>
      <c r="D57" s="67">
        <f t="shared" si="13"/>
        <v>190203399</v>
      </c>
      <c r="E57" s="69">
        <v>0.020799600855262865</v>
      </c>
      <c r="F57" s="67">
        <f t="shared" si="11"/>
        <v>58467262</v>
      </c>
      <c r="G57" s="70">
        <v>0.033432673418166</v>
      </c>
      <c r="H57" s="70">
        <v>0.03177811181784018</v>
      </c>
      <c r="I57" s="67">
        <f t="shared" si="14"/>
        <v>0</v>
      </c>
      <c r="J57" s="66">
        <f t="shared" si="15"/>
        <v>0</v>
      </c>
      <c r="K57" s="67">
        <f t="shared" si="16"/>
        <v>70537552</v>
      </c>
      <c r="L57" s="67">
        <f t="shared" si="17"/>
        <v>0</v>
      </c>
      <c r="M57" s="67">
        <f t="shared" si="18"/>
        <v>0</v>
      </c>
      <c r="N57" s="67">
        <f t="shared" si="12"/>
        <v>70537552</v>
      </c>
      <c r="O57" s="67">
        <v>70537552</v>
      </c>
      <c r="P57" s="71">
        <f t="shared" si="10"/>
        <v>0</v>
      </c>
    </row>
    <row r="58" spans="1:16" ht="12.75">
      <c r="A58" s="9" t="s">
        <v>51</v>
      </c>
      <c r="B58" s="68">
        <v>0.00299313</v>
      </c>
      <c r="C58" s="67">
        <f>ROUND(B58*$C$70,0)+1</f>
        <v>5903427</v>
      </c>
      <c r="D58" s="67">
        <f t="shared" si="13"/>
        <v>15918498</v>
      </c>
      <c r="E58" s="69">
        <v>0.002023332177429795</v>
      </c>
      <c r="F58" s="67">
        <f t="shared" si="11"/>
        <v>5687546</v>
      </c>
      <c r="G58" s="70">
        <v>0.00279804644962705</v>
      </c>
      <c r="H58" s="70">
        <v>0.002659572922440756</v>
      </c>
      <c r="I58" s="67">
        <f t="shared" si="14"/>
        <v>7865253</v>
      </c>
      <c r="J58" s="66">
        <f t="shared" si="15"/>
        <v>0</v>
      </c>
      <c r="K58" s="67">
        <f t="shared" si="16"/>
        <v>0</v>
      </c>
      <c r="L58" s="67">
        <f t="shared" si="17"/>
        <v>7865253</v>
      </c>
      <c r="M58" s="67">
        <f t="shared" si="18"/>
        <v>0</v>
      </c>
      <c r="N58" s="67">
        <f>SUM(J58+K58+L58+M58)</f>
        <v>7865253</v>
      </c>
      <c r="O58" s="67">
        <v>5903427</v>
      </c>
      <c r="P58" s="71">
        <f>N58-O58</f>
        <v>1961826</v>
      </c>
    </row>
    <row r="59" spans="1:16" ht="12.75">
      <c r="A59" s="65"/>
      <c r="B59" s="65"/>
      <c r="C59" s="65"/>
      <c r="D59" s="67"/>
      <c r="E59" s="65"/>
      <c r="F59" s="65"/>
      <c r="G59" s="65"/>
      <c r="H59" s="65"/>
      <c r="I59" s="65"/>
      <c r="J59" s="72"/>
      <c r="K59" s="73"/>
      <c r="L59" s="73"/>
      <c r="M59" s="74"/>
      <c r="N59" s="67"/>
      <c r="P59" s="45"/>
    </row>
    <row r="60" spans="1:16" ht="12.75">
      <c r="A60" s="65"/>
      <c r="B60" s="65"/>
      <c r="C60" s="67">
        <f>SUM(C8:C58)</f>
        <v>1972325297</v>
      </c>
      <c r="D60" s="75"/>
      <c r="E60" s="69">
        <f>SUM(E8:E58)</f>
        <v>1.0000000000000004</v>
      </c>
      <c r="F60" s="67">
        <f>SUM(F8:F58)</f>
        <v>2810979983</v>
      </c>
      <c r="G60" s="70">
        <f>SUM(G8:G58)</f>
        <v>1</v>
      </c>
      <c r="H60" s="70"/>
      <c r="I60" s="67"/>
      <c r="J60" s="66"/>
      <c r="K60" s="9"/>
      <c r="L60" s="9"/>
      <c r="M60" s="76"/>
      <c r="N60" s="67">
        <f>SUM(N8:N58)</f>
        <v>2810979983</v>
      </c>
      <c r="O60" s="67">
        <f>SUM(O8:O58)</f>
        <v>1972325297</v>
      </c>
      <c r="P60" s="77">
        <f>SUM(P8:P58)</f>
        <v>838654686</v>
      </c>
    </row>
    <row r="61" spans="1:16" ht="12.75">
      <c r="A61" s="9" t="s">
        <v>78</v>
      </c>
      <c r="B61" s="65"/>
      <c r="C61" s="65"/>
      <c r="D61" s="65"/>
      <c r="E61" s="65"/>
      <c r="F61" s="65"/>
      <c r="G61" s="65"/>
      <c r="H61" s="65"/>
      <c r="I61" s="65"/>
      <c r="J61" s="72"/>
      <c r="K61" s="65"/>
      <c r="L61" s="65"/>
      <c r="M61" s="65"/>
      <c r="N61" s="67"/>
      <c r="P61" s="78"/>
    </row>
    <row r="62" spans="1:16" ht="38.25">
      <c r="A62" s="9"/>
      <c r="B62" s="65"/>
      <c r="C62" s="79" t="s">
        <v>79</v>
      </c>
      <c r="D62" s="65"/>
      <c r="E62" s="79" t="str">
        <f>"Leveraging, T&amp;TA, and Territory Allocations from "&amp;TEXT(C$2/1000000000,"$0.00")&amp;" Billion"</f>
        <v>Leveraging, T&amp;TA, and Territory Allocations from $2.81 Billion</v>
      </c>
      <c r="F62" s="79"/>
      <c r="G62" s="65"/>
      <c r="H62" s="65"/>
      <c r="I62" s="65"/>
      <c r="J62" s="72"/>
      <c r="K62" s="65"/>
      <c r="L62" s="65"/>
      <c r="M62" s="65"/>
      <c r="O62" s="79"/>
      <c r="P62" s="41"/>
    </row>
    <row r="63" spans="1:16" ht="12.75">
      <c r="A63" s="9" t="s">
        <v>80</v>
      </c>
      <c r="B63" s="65"/>
      <c r="C63" s="80">
        <v>1975000000</v>
      </c>
      <c r="D63" s="65"/>
      <c r="E63" s="72">
        <f>+C2</f>
        <v>2814792000</v>
      </c>
      <c r="F63" s="67"/>
      <c r="G63" s="81"/>
      <c r="H63" s="81"/>
      <c r="I63" s="72"/>
      <c r="J63" s="72"/>
      <c r="K63" s="65"/>
      <c r="L63" s="65"/>
      <c r="M63" s="65"/>
      <c r="O63" s="72" t="s">
        <v>95</v>
      </c>
      <c r="P63" s="82">
        <f>P60</f>
        <v>838654686</v>
      </c>
    </row>
    <row r="64" spans="1:16" ht="12.75">
      <c r="A64" s="9" t="s">
        <v>81</v>
      </c>
      <c r="B64" s="65"/>
      <c r="C64" s="72"/>
      <c r="D64" s="65"/>
      <c r="E64" s="67">
        <v>0</v>
      </c>
      <c r="F64" s="67"/>
      <c r="G64" s="72"/>
      <c r="H64" s="72"/>
      <c r="I64" s="72"/>
      <c r="J64" s="72"/>
      <c r="K64" s="65"/>
      <c r="L64" s="65"/>
      <c r="M64" s="65"/>
      <c r="O64" s="72" t="s">
        <v>85</v>
      </c>
      <c r="P64" s="82">
        <f>E79</f>
        <v>1137314</v>
      </c>
    </row>
    <row r="65" spans="1:16" ht="12.75">
      <c r="A65" s="65" t="s">
        <v>82</v>
      </c>
      <c r="B65" s="65"/>
      <c r="C65" s="67">
        <f>C63-C64</f>
        <v>1975000000</v>
      </c>
      <c r="D65" s="67"/>
      <c r="E65" s="67">
        <f>E63-E64</f>
        <v>2814792000</v>
      </c>
      <c r="F65" s="67"/>
      <c r="G65" s="67"/>
      <c r="H65" s="67"/>
      <c r="I65" s="67"/>
      <c r="J65" s="72"/>
      <c r="K65" s="65"/>
      <c r="L65" s="65"/>
      <c r="M65" s="65"/>
      <c r="O65" s="67" t="s">
        <v>99</v>
      </c>
      <c r="P65" s="82">
        <f>SUM(P63+P64)</f>
        <v>839792000</v>
      </c>
    </row>
    <row r="66" spans="1:16" ht="12.75">
      <c r="A66" s="65" t="s">
        <v>83</v>
      </c>
      <c r="B66" s="65"/>
      <c r="C66" s="72"/>
      <c r="D66" s="67"/>
      <c r="E66" s="67">
        <v>0</v>
      </c>
      <c r="G66" s="67"/>
      <c r="H66" s="67"/>
      <c r="I66" s="67"/>
      <c r="J66" s="72"/>
      <c r="K66" s="65"/>
      <c r="L66" s="65"/>
      <c r="M66" s="65"/>
      <c r="O66" s="72"/>
      <c r="P66" s="82"/>
    </row>
    <row r="67" spans="1:16" ht="12.75">
      <c r="A67" s="65" t="s">
        <v>82</v>
      </c>
      <c r="B67" s="65"/>
      <c r="C67" s="67">
        <f>C65-C66</f>
        <v>1975000000</v>
      </c>
      <c r="D67" s="83"/>
      <c r="E67" s="67">
        <f>E65-E66</f>
        <v>2814792000</v>
      </c>
      <c r="G67" s="67"/>
      <c r="H67" s="67"/>
      <c r="I67" s="67"/>
      <c r="J67" s="72"/>
      <c r="K67" s="65"/>
      <c r="L67" s="65"/>
      <c r="M67" s="65"/>
      <c r="O67" s="67"/>
      <c r="P67" s="82"/>
    </row>
    <row r="68" spans="1:16" ht="12.75">
      <c r="A68" s="37" t="s">
        <v>84</v>
      </c>
      <c r="B68" s="65"/>
      <c r="C68" s="68">
        <v>0.00135428</v>
      </c>
      <c r="D68" s="83"/>
      <c r="E68" s="68">
        <f>C68</f>
        <v>0.00135428</v>
      </c>
      <c r="G68" s="84"/>
      <c r="H68" s="85"/>
      <c r="I68" s="67"/>
      <c r="J68" s="72"/>
      <c r="K68" s="65"/>
      <c r="L68" s="65"/>
      <c r="M68" s="65"/>
      <c r="O68" s="68"/>
      <c r="P68" s="86"/>
    </row>
    <row r="69" spans="1:16" ht="12.75">
      <c r="A69" s="65" t="s">
        <v>85</v>
      </c>
      <c r="B69" s="65"/>
      <c r="C69" s="67">
        <f>C67*C68</f>
        <v>2674703</v>
      </c>
      <c r="D69" s="67"/>
      <c r="E69" s="67">
        <f>ROUND(E67*E68,0)</f>
        <v>3812017</v>
      </c>
      <c r="F69" s="67"/>
      <c r="G69" s="67"/>
      <c r="H69" s="67"/>
      <c r="I69" s="67"/>
      <c r="J69" s="72"/>
      <c r="K69" s="65"/>
      <c r="L69" s="65"/>
      <c r="M69" s="65"/>
      <c r="O69" s="67"/>
      <c r="P69" s="82"/>
    </row>
    <row r="70" spans="1:16" ht="12.75">
      <c r="A70" s="65" t="s">
        <v>86</v>
      </c>
      <c r="B70" s="65"/>
      <c r="C70" s="67">
        <f>C67-C69</f>
        <v>1972325297</v>
      </c>
      <c r="D70" s="67"/>
      <c r="E70" s="67">
        <f>E67-E69</f>
        <v>2810979983</v>
      </c>
      <c r="G70" s="67"/>
      <c r="H70" s="67"/>
      <c r="I70" s="67"/>
      <c r="J70" s="72"/>
      <c r="K70" s="65"/>
      <c r="L70" s="65"/>
      <c r="M70" s="65"/>
      <c r="O70" s="67"/>
      <c r="P70" s="82"/>
    </row>
    <row r="71" spans="1:13" ht="12.75">
      <c r="A71" s="65"/>
      <c r="B71" s="65"/>
      <c r="C71" s="67"/>
      <c r="D71" s="67"/>
      <c r="E71" s="67"/>
      <c r="F71" s="67"/>
      <c r="G71" s="67"/>
      <c r="H71" s="67"/>
      <c r="I71" s="67"/>
      <c r="J71" s="72"/>
      <c r="K71" s="65"/>
      <c r="L71" s="65"/>
      <c r="M71" s="65"/>
    </row>
    <row r="72" spans="1:13" ht="12.75">
      <c r="A72" s="65"/>
      <c r="B72" s="65"/>
      <c r="C72" s="67"/>
      <c r="D72" s="67"/>
      <c r="E72" s="67"/>
      <c r="F72" s="67"/>
      <c r="G72" s="67"/>
      <c r="H72" s="67"/>
      <c r="I72" s="67"/>
      <c r="J72" s="72"/>
      <c r="K72" s="65"/>
      <c r="L72" s="65"/>
      <c r="M72" s="65"/>
    </row>
    <row r="73" spans="1:10" ht="25.5">
      <c r="A73" s="49" t="s">
        <v>85</v>
      </c>
      <c r="B73" s="49" t="s">
        <v>87</v>
      </c>
      <c r="C73" s="24" t="str">
        <f>"Territory Allocations at $2.814B"</f>
        <v>Territory Allocations at $2.814B</v>
      </c>
      <c r="D73" s="24" t="s">
        <v>97</v>
      </c>
      <c r="E73" s="19" t="s">
        <v>98</v>
      </c>
      <c r="G73" s="87"/>
      <c r="J73" s="42"/>
    </row>
    <row r="74" spans="1:10" ht="12.75">
      <c r="A74" s="13" t="s">
        <v>53</v>
      </c>
      <c r="B74" s="20">
        <v>0.01654258</v>
      </c>
      <c r="C74" s="25">
        <f>ROUND(B74*$E$69,0)</f>
        <v>63061</v>
      </c>
      <c r="D74" s="25">
        <v>44246</v>
      </c>
      <c r="E74" s="82">
        <f>C74-D74</f>
        <v>18815</v>
      </c>
      <c r="G74" s="87"/>
      <c r="J74" s="42"/>
    </row>
    <row r="75" spans="1:10" ht="12.75">
      <c r="A75" s="13" t="s">
        <v>54</v>
      </c>
      <c r="B75" s="20">
        <v>0.03626904</v>
      </c>
      <c r="C75" s="25">
        <f>ROUND(B75*$E$69,0)</f>
        <v>138258</v>
      </c>
      <c r="D75" s="25">
        <v>97009</v>
      </c>
      <c r="E75" s="82">
        <f>C75-D75</f>
        <v>41249</v>
      </c>
      <c r="J75" s="42"/>
    </row>
    <row r="76" spans="1:10" ht="12.75">
      <c r="A76" s="13" t="s">
        <v>55</v>
      </c>
      <c r="B76" s="20">
        <v>0.01259719</v>
      </c>
      <c r="C76" s="25">
        <f>ROUND(B76*$E$69,0)</f>
        <v>48021</v>
      </c>
      <c r="D76" s="25">
        <v>33694</v>
      </c>
      <c r="E76" s="82">
        <f>C76-D76</f>
        <v>14327</v>
      </c>
      <c r="J76" s="42"/>
    </row>
    <row r="77" spans="1:10" ht="12.75">
      <c r="A77" s="13" t="s">
        <v>56</v>
      </c>
      <c r="B77" s="20">
        <v>0.90029483</v>
      </c>
      <c r="C77" s="25">
        <f>ROUND(B77*$E$69,0)</f>
        <v>3431939</v>
      </c>
      <c r="D77" s="25">
        <v>2408021</v>
      </c>
      <c r="E77" s="82">
        <f>C77-D77</f>
        <v>1023918</v>
      </c>
      <c r="J77" s="42"/>
    </row>
    <row r="78" spans="1:10" ht="13.5" thickBot="1">
      <c r="A78" s="13" t="s">
        <v>57</v>
      </c>
      <c r="B78" s="20">
        <v>0.03429636</v>
      </c>
      <c r="C78" s="26">
        <f>ROUND(B78*$E$69,0)</f>
        <v>130738</v>
      </c>
      <c r="D78" s="25">
        <v>91733</v>
      </c>
      <c r="E78" s="82">
        <f>C78-D78</f>
        <v>39005</v>
      </c>
      <c r="J78" s="42"/>
    </row>
    <row r="79" spans="1:10" ht="13.5" thickTop="1">
      <c r="A79" s="22" t="s">
        <v>52</v>
      </c>
      <c r="B79" s="23"/>
      <c r="C79" s="25">
        <f>SUM(C74:C78)</f>
        <v>3812017</v>
      </c>
      <c r="D79" s="88">
        <f>SUM(D74:D78)</f>
        <v>2674703</v>
      </c>
      <c r="E79" s="50">
        <f>SUM(E74:E78)</f>
        <v>1137314</v>
      </c>
      <c r="J79" s="42"/>
    </row>
    <row r="80" ht="12.75">
      <c r="E80" s="89"/>
    </row>
    <row r="81" ht="12.75">
      <c r="A81" s="13"/>
    </row>
  </sheetData>
  <mergeCells count="2">
    <mergeCell ref="J1:N1"/>
    <mergeCell ref="B1:I1"/>
  </mergeCells>
  <printOptions gridLines="1" horizontalCentered="1"/>
  <pageMargins left="0.15" right="0.15" top="0.5" bottom="0.6" header="0.5" footer="0.35"/>
  <pageSetup fitToHeight="3" fitToWidth="1" horizontalDpi="600" verticalDpi="600" orientation="landscape" scale="35" r:id="rId1"/>
  <headerFooter alignWithMargins="0">
    <oddFooter>&amp;L&amp;"Arial,Regular"'&amp;F' [&amp;A]&amp;R&amp;"Arial,Regular"Page &amp;P of &amp;N</oddFooter>
  </headerFooter>
  <colBreaks count="1" manualBreakCount="1">
    <brk id="9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USER</cp:lastModifiedBy>
  <cp:lastPrinted>2008-10-15T17:05:44Z</cp:lastPrinted>
  <dcterms:created xsi:type="dcterms:W3CDTF">2008-09-22T15:41:03Z</dcterms:created>
  <dcterms:modified xsi:type="dcterms:W3CDTF">2008-10-15T17:18:10Z</dcterms:modified>
  <cp:category/>
  <cp:version/>
  <cp:contentType/>
  <cp:contentStatus/>
</cp:coreProperties>
</file>