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050" activeTab="0"/>
  </bookViews>
  <sheets>
    <sheet name="Input" sheetId="1" r:id="rId1"/>
    <sheet name="Summary" sheetId="2" state="hidden" r:id="rId2"/>
    <sheet name="tax lookup table" sheetId="3" state="hidden" r:id="rId3"/>
  </sheets>
  <definedNames>
    <definedName name="_xlnm.Print_Area" localSheetId="0">'Input'!$A$1:$N$36</definedName>
    <definedName name="_xlnm.Print_Area" localSheetId="1">'Summary'!$A$1:$P$36</definedName>
    <definedName name="taxtable">'tax lookup table'!$B$12:$G$17</definedName>
  </definedNames>
  <calcPr fullCalcOnLoad="1"/>
</workbook>
</file>

<file path=xl/sharedStrings.xml><?xml version="1.0" encoding="utf-8"?>
<sst xmlns="http://schemas.openxmlformats.org/spreadsheetml/2006/main" count="120" uniqueCount="103">
  <si>
    <t>Grade</t>
  </si>
  <si>
    <t>COLA</t>
  </si>
  <si>
    <t>Medicare</t>
  </si>
  <si>
    <t>AGI</t>
  </si>
  <si>
    <t>Tax Pct</t>
  </si>
  <si>
    <t>CSRS</t>
  </si>
  <si>
    <t>FERS</t>
  </si>
  <si>
    <t>&amp; Std Dec</t>
  </si>
  <si>
    <t>Pers Exmpt</t>
  </si>
  <si>
    <t>min Tax</t>
  </si>
  <si>
    <t>rate</t>
  </si>
  <si>
    <t>over</t>
  </si>
  <si>
    <t xml:space="preserve">on amts </t>
  </si>
  <si>
    <t>plus</t>
  </si>
  <si>
    <t>up to 7550</t>
  </si>
  <si>
    <t>7550 to 30650</t>
  </si>
  <si>
    <t>30650 to 74200</t>
  </si>
  <si>
    <t>74200 +</t>
  </si>
  <si>
    <t>Federal</t>
  </si>
  <si>
    <t>Income Tax</t>
  </si>
  <si>
    <t>FERS*</t>
  </si>
  <si>
    <t>Contributions</t>
  </si>
  <si>
    <t>Biweekly Pay</t>
  </si>
  <si>
    <t>Salary</t>
  </si>
  <si>
    <t>Year</t>
  </si>
  <si>
    <t xml:space="preserve"> Retirement</t>
  </si>
  <si>
    <t>Retirement</t>
  </si>
  <si>
    <t>Biweekly</t>
  </si>
  <si>
    <t>Pay Check</t>
  </si>
  <si>
    <t>Locality Pay</t>
  </si>
  <si>
    <t>Total Pay</t>
  </si>
  <si>
    <t>Income</t>
  </si>
  <si>
    <t>Taxable</t>
  </si>
  <si>
    <t>Present</t>
  </si>
  <si>
    <t>Base</t>
  </si>
  <si>
    <t>Annual Increase in Income Taxable</t>
  </si>
  <si>
    <t xml:space="preserve">         for Social Security</t>
  </si>
  <si>
    <t>(Estimated)</t>
  </si>
  <si>
    <t>(Average of last 7 years)</t>
  </si>
  <si>
    <t>Effect of Proposed Legislation on a Single Employee with Standard Deduction</t>
  </si>
  <si>
    <t>Net of Federal</t>
  </si>
  <si>
    <t>Under Proposed Legislation</t>
  </si>
  <si>
    <t>Current COLA System</t>
  </si>
  <si>
    <t>From Prior Year</t>
  </si>
  <si>
    <t>First Year Locality Pay (RUS)</t>
  </si>
  <si>
    <t xml:space="preserve">          Annual Base Schedule Increase</t>
  </si>
  <si>
    <t xml:space="preserve">          Annual Increase in Locality Pay</t>
  </si>
  <si>
    <t xml:space="preserve">             Current COLA Rate</t>
  </si>
  <si>
    <t xml:space="preserve">               Locality Pay Rate</t>
  </si>
  <si>
    <t xml:space="preserve">  Taxable for Social Security</t>
  </si>
  <si>
    <t>---</t>
  </si>
  <si>
    <t>Taxes, Medicare &amp;</t>
  </si>
  <si>
    <t>Effective Tax Rate</t>
  </si>
  <si>
    <t>retirement</t>
  </si>
  <si>
    <t>Base Salary</t>
  </si>
  <si>
    <t>Taxable/</t>
  </si>
  <si>
    <t>CURRENT COLA PROGRAM CONTINUES</t>
  </si>
  <si>
    <t>BEGIN TRANSITION FROM COLA TO LOCALITY PAY</t>
  </si>
  <si>
    <t>}</t>
  </si>
  <si>
    <t>Underlying Assumptions and Constants</t>
  </si>
  <si>
    <t>Current Base Pay Excluding COLA</t>
  </si>
  <si>
    <t>Net Increase in</t>
  </si>
  <si>
    <t xml:space="preserve">High 3 </t>
  </si>
  <si>
    <t>Average for</t>
  </si>
  <si>
    <t>Creditable</t>
  </si>
  <si>
    <t xml:space="preserve">Retirement </t>
  </si>
  <si>
    <t>Locality</t>
  </si>
  <si>
    <t>Pay</t>
  </si>
  <si>
    <t>Medicare &amp;</t>
  </si>
  <si>
    <t>(Base +</t>
  </si>
  <si>
    <t>Locality Pay)</t>
  </si>
  <si>
    <t xml:space="preserve">• Federal income tax estimates based on single employee, </t>
  </si>
  <si>
    <t>Locality Pay Rate</t>
  </si>
  <si>
    <t>Current COLA Rate (25% maximum)</t>
  </si>
  <si>
    <t xml:space="preserve">Increase in </t>
  </si>
  <si>
    <t xml:space="preserve">Total Pay </t>
  </si>
  <si>
    <t>Current</t>
  </si>
  <si>
    <t>COLA Program</t>
  </si>
  <si>
    <t>Estimated</t>
  </si>
  <si>
    <t>To see how this legislation might affect you, you can enter your salary, COLA rate, and estimated locality rate (27.68% for Alaska, 20.38% for Hawaii, and 13.18% for Rest of US) in the cells to the left.</t>
  </si>
  <si>
    <t>(2008 rate)</t>
  </si>
  <si>
    <t>• 2009 Locality Pay is set to 13.18%, (Rest of US rate)</t>
  </si>
  <si>
    <t>Phase-in Period</t>
  </si>
  <si>
    <t xml:space="preserve">       COLA Offset Factor</t>
  </si>
  <si>
    <t xml:space="preserve">(FERS includes </t>
  </si>
  <si>
    <t xml:space="preserve">   Social Security)</t>
  </si>
  <si>
    <t xml:space="preserve">     no dependents, standard deduction, and 2007 tax rates.</t>
  </si>
  <si>
    <t>Tool for Estimating Effect of Transition from COLA to Locality Pay (3 Year Phase-in and 65% Offset)</t>
  </si>
  <si>
    <t>2008 Ceiling on Income</t>
  </si>
  <si>
    <t>Link to Current Nonforeign COLA Rates</t>
  </si>
  <si>
    <t>NOTE:  This calculator is a tool you can use to help estimate your future pay and retirement benefits under S.3013; there is no guarantee that you will receive these amounts. The accuracy of the benefit projection will depend on how closely the data you enter matches your actual base pay and tax data in the future. The actual benefits that you receive when you retire must be calculated under the various provisions of 5 U.S.C. chapter 83.  The calculator does not account for maximum limitations on pay.</t>
  </si>
  <si>
    <t>• 2008 Ceiling on Income Taxable for Social Security is $102,000 (affects FERS employees only)</t>
  </si>
  <si>
    <t>• COLA not included in "High 3" for retirement calculations</t>
  </si>
  <si>
    <t>3 Year Phase in and 65% Offset</t>
  </si>
  <si>
    <t>High 3</t>
  </si>
  <si>
    <t>• Annual Base Schedule Increase is 2.5%.</t>
  </si>
  <si>
    <t>• Annual Increase in Locality Pay is 1%.</t>
  </si>
  <si>
    <t>• 3 year phase in period.</t>
  </si>
  <si>
    <t>• COLA Offset Factor is 65%.</t>
  </si>
  <si>
    <t>Change in Net Pay</t>
  </si>
  <si>
    <t>from Prior Year</t>
  </si>
  <si>
    <t>for Federal taxes,</t>
  </si>
  <si>
    <t>Net of Deductions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</si>
</sst>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quot;$&quot;#,##0.0000"/>
    <numFmt numFmtId="168" formatCode="&quot;$&quot;#,##0.000"/>
    <numFmt numFmtId="169" formatCode="&quot;$&quot;#,##0.0"/>
    <numFmt numFmtId="170" formatCode="0.00000000000000000%"/>
    <numFmt numFmtId="171" formatCode="0.0000000000000000%"/>
    <numFmt numFmtId="172" formatCode="0.000000000000000%"/>
    <numFmt numFmtId="173" formatCode="0.00000000000000%"/>
    <numFmt numFmtId="174" formatCode="0.0000000000000%"/>
    <numFmt numFmtId="175" formatCode="0.0000%"/>
    <numFmt numFmtId="176" formatCode="0.0"/>
    <numFmt numFmtId="177" formatCode="_(* #,##0.0_);_(* \(#,##0.0\);_(* &quot;-&quot;??_);_(@_)"/>
    <numFmt numFmtId="178" formatCode="_(* #,##0_);_(* \(#,##0\);_(* &quot;-&quot;??_);_(@_)"/>
    <numFmt numFmtId="179" formatCode="&quot;$&quot;#,##0.00000"/>
    <numFmt numFmtId="180" formatCode="0.000%"/>
    <numFmt numFmtId="181" formatCode="_(* #,##0.000_);_(* \(#,##0.000\);_(* &quot;-&quot;??_);_(@_)"/>
    <numFmt numFmtId="182" formatCode="_(* #,##0.000_);_(* \(#,##0.000\);_(* &quot;-&quot;???_);_(@_)"/>
    <numFmt numFmtId="183" formatCode="_(* #,##0.0000_);_(* \(#,##0.0000\);_(* &quot;-&quot;????_);_(@_)"/>
    <numFmt numFmtId="184" formatCode="&quot;$&quot;#,##0.000_);[Red]\(&quot;$&quot;#,##0.000\)"/>
    <numFmt numFmtId="185" formatCode="_(* #,##0.0000_);_(* \(#,##0.0000\);_(* &quot;-&quot;??_);_(@_)"/>
    <numFmt numFmtId="186" formatCode="_(* #,##0.0_);_(* \(#,##0.0\);_(* &quot;-&quot;?_);_(@_)"/>
    <numFmt numFmtId="187" formatCode="&quot;Yes&quot;;&quot;Yes&quot;;&quot;No&quot;"/>
    <numFmt numFmtId="188" formatCode="&quot;True&quot;;&quot;True&quot;;&quot;False&quot;"/>
    <numFmt numFmtId="189" formatCode="&quot;On&quot;;&quot;On&quot;;&quot;Off&quot;"/>
    <numFmt numFmtId="190" formatCode="[$€-2]\ #,##0.00_);[Red]\([$€-2]\ #,##0.00\)"/>
    <numFmt numFmtId="191" formatCode=";;;"/>
    <numFmt numFmtId="192" formatCode="[$-409]dddd\,\ mmmm\ dd\,\ yyyy"/>
    <numFmt numFmtId="193" formatCode="0.00000"/>
    <numFmt numFmtId="194" formatCode="0.000"/>
    <numFmt numFmtId="195" formatCode="_(&quot;$&quot;* #,##0.0_);_(&quot;$&quot;* \(#,##0.0\);_(&quot;$&quot;* &quot;-&quot;??_);_(@_)"/>
    <numFmt numFmtId="196" formatCode="_(&quot;$&quot;* #,##0_);_(&quot;$&quot;* \(#,##0\);_(&quot;$&quot;* &quot;-&quot;??_);_(@_)"/>
    <numFmt numFmtId="197" formatCode="0.0000"/>
    <numFmt numFmtId="198" formatCode="0.000000"/>
  </numFmts>
  <fonts count="14">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20"/>
      <name val="Arial"/>
      <family val="0"/>
    </font>
    <font>
      <sz val="2.5"/>
      <name val="Arial"/>
      <family val="0"/>
    </font>
    <font>
      <b/>
      <sz val="3"/>
      <name val="Arial"/>
      <family val="0"/>
    </font>
    <font>
      <sz val="2.25"/>
      <name val="Arial"/>
      <family val="0"/>
    </font>
    <font>
      <sz val="12"/>
      <name val="Arial"/>
      <family val="0"/>
    </font>
    <font>
      <b/>
      <u val="single"/>
      <sz val="10"/>
      <name val="Arial"/>
      <family val="2"/>
    </font>
    <font>
      <b/>
      <sz val="2.5"/>
      <name val="Arial"/>
      <family val="0"/>
    </font>
    <font>
      <sz val="14"/>
      <name val="Arial"/>
      <family val="0"/>
    </font>
    <font>
      <sz val="48"/>
      <name val="Arial"/>
      <family val="0"/>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7">
    <border>
      <left/>
      <right/>
      <top/>
      <bottom/>
      <diagonal/>
    </border>
    <border>
      <left style="thin"/>
      <right>
        <color indexed="63"/>
      </right>
      <top style="thin"/>
      <bottom style="thin"/>
    </border>
    <border>
      <left style="thick"/>
      <right style="thick"/>
      <top style="thick"/>
      <bottom style="thin"/>
    </border>
    <border>
      <left style="thick"/>
      <right style="thick"/>
      <top style="thin"/>
      <bottom style="thin"/>
    </border>
    <border>
      <left style="thick"/>
      <right style="thick"/>
      <top style="thin"/>
      <bottom style="thick"/>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01">
    <xf numFmtId="0" fontId="0" fillId="0" borderId="0" xfId="0" applyAlignment="1">
      <alignment/>
    </xf>
    <xf numFmtId="0" fontId="0" fillId="0" borderId="0" xfId="0" applyAlignment="1" applyProtection="1">
      <alignment/>
      <protection/>
    </xf>
    <xf numFmtId="0" fontId="2" fillId="0" borderId="0" xfId="0" applyFont="1" applyFill="1" applyAlignment="1" applyProtection="1">
      <alignment horizontal="centerContinuous"/>
      <protection/>
    </xf>
    <xf numFmtId="0" fontId="0" fillId="0" borderId="0" xfId="0" applyFill="1" applyAlignment="1" applyProtection="1">
      <alignment horizontal="centerContinuous"/>
      <protection/>
    </xf>
    <xf numFmtId="0" fontId="0" fillId="0" borderId="0" xfId="0" applyFont="1" applyAlignment="1" applyProtection="1">
      <alignment/>
      <protection/>
    </xf>
    <xf numFmtId="0" fontId="2" fillId="0" borderId="0" xfId="0" applyFont="1" applyFill="1" applyAlignment="1" applyProtection="1">
      <alignment horizontal="center" wrapText="1"/>
      <protection/>
    </xf>
    <xf numFmtId="0" fontId="2" fillId="0" borderId="0" xfId="0" applyFont="1" applyFill="1" applyAlignment="1" applyProtection="1">
      <alignment/>
      <protection/>
    </xf>
    <xf numFmtId="0" fontId="2" fillId="2" borderId="0" xfId="0" applyFont="1" applyFill="1" applyAlignment="1" applyProtection="1">
      <alignment horizontal="center"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2" fillId="3" borderId="1" xfId="0" applyFont="1" applyFill="1" applyBorder="1" applyAlignment="1" applyProtection="1">
      <alignment wrapText="1"/>
      <protection/>
    </xf>
    <xf numFmtId="0" fontId="2" fillId="3" borderId="1" xfId="0" applyFont="1" applyFill="1" applyBorder="1" applyAlignment="1" applyProtection="1">
      <alignment/>
      <protection/>
    </xf>
    <xf numFmtId="191" fontId="0" fillId="0" borderId="0" xfId="0" applyNumberFormat="1" applyAlignment="1" applyProtection="1">
      <alignment/>
      <protection hidden="1"/>
    </xf>
    <xf numFmtId="191" fontId="0" fillId="0" borderId="0" xfId="0" applyNumberFormat="1" applyFill="1" applyAlignment="1" applyProtection="1">
      <alignment/>
      <protection hidden="1"/>
    </xf>
    <xf numFmtId="178" fontId="2" fillId="3" borderId="2" xfId="15" applyNumberFormat="1" applyFont="1" applyFill="1" applyBorder="1" applyAlignment="1" applyProtection="1">
      <alignment horizontal="right"/>
      <protection locked="0"/>
    </xf>
    <xf numFmtId="10" fontId="2" fillId="3" borderId="3" xfId="21" applyNumberFormat="1" applyFont="1" applyFill="1" applyBorder="1" applyAlignment="1" applyProtection="1">
      <alignment horizontal="right"/>
      <protection locked="0"/>
    </xf>
    <xf numFmtId="10" fontId="2" fillId="3" borderId="4" xfId="21" applyNumberFormat="1" applyFont="1" applyFill="1" applyBorder="1" applyAlignment="1" applyProtection="1">
      <alignment/>
      <protection locked="0"/>
    </xf>
    <xf numFmtId="0" fontId="0" fillId="0" borderId="0" xfId="0" applyNumberFormat="1" applyFill="1" applyAlignment="1" applyProtection="1">
      <alignment/>
      <protection hidden="1"/>
    </xf>
    <xf numFmtId="0" fontId="0" fillId="0" borderId="0" xfId="0" applyAlignment="1" applyProtection="1">
      <alignment/>
      <protection/>
    </xf>
    <xf numFmtId="0" fontId="0" fillId="0" borderId="0" xfId="0" applyBorder="1" applyAlignment="1" applyProtection="1">
      <alignment wrapText="1"/>
      <protection/>
    </xf>
    <xf numFmtId="0" fontId="10" fillId="0" borderId="0" xfId="0" applyFont="1" applyAlignment="1" applyProtection="1">
      <alignment/>
      <protection/>
    </xf>
    <xf numFmtId="0" fontId="0" fillId="0" borderId="0" xfId="0" applyAlignment="1" applyProtection="1">
      <alignment horizontal="centerContinuous"/>
      <protection/>
    </xf>
    <xf numFmtId="164" fontId="0" fillId="0" borderId="0" xfId="0" applyNumberFormat="1" applyAlignment="1" applyProtection="1" quotePrefix="1">
      <alignment/>
      <protection/>
    </xf>
    <xf numFmtId="0" fontId="2" fillId="2" borderId="0" xfId="0" applyFont="1" applyFill="1" applyAlignment="1" applyProtection="1">
      <alignment horizontal="center"/>
      <protection/>
    </xf>
    <xf numFmtId="0" fontId="2" fillId="0" borderId="0" xfId="0" applyFont="1" applyAlignment="1" applyProtection="1">
      <alignment horizontal="center"/>
      <protection/>
    </xf>
    <xf numFmtId="0" fontId="2" fillId="0" borderId="0" xfId="0" applyFont="1" applyAlignment="1" applyProtection="1">
      <alignment horizontal="centerContinuous"/>
      <protection/>
    </xf>
    <xf numFmtId="0" fontId="2" fillId="0" borderId="0" xfId="0" applyFont="1" applyAlignment="1" applyProtection="1">
      <alignment horizontal="center" wrapText="1"/>
      <protection/>
    </xf>
    <xf numFmtId="0" fontId="9" fillId="0" borderId="0" xfId="0" applyFont="1" applyAlignment="1" applyProtection="1">
      <alignment horizontal="center"/>
      <protection/>
    </xf>
    <xf numFmtId="164" fontId="9" fillId="0" borderId="0" xfId="15" applyNumberFormat="1" applyFont="1" applyAlignment="1" applyProtection="1">
      <alignment/>
      <protection/>
    </xf>
    <xf numFmtId="164" fontId="9" fillId="0" borderId="0" xfId="15" applyNumberFormat="1" applyFont="1" applyFill="1" applyAlignment="1" applyProtection="1">
      <alignment/>
      <protection/>
    </xf>
    <xf numFmtId="164" fontId="9" fillId="0" borderId="0" xfId="15" applyNumberFormat="1" applyFont="1" applyFill="1" applyAlignment="1" applyProtection="1">
      <alignment horizontal="center"/>
      <protection/>
    </xf>
    <xf numFmtId="0" fontId="9" fillId="0" borderId="5" xfId="0" applyFont="1" applyBorder="1" applyAlignment="1" applyProtection="1">
      <alignment horizontal="center"/>
      <protection/>
    </xf>
    <xf numFmtId="164" fontId="9" fillId="0" borderId="5" xfId="15" applyNumberFormat="1" applyFont="1" applyBorder="1" applyAlignment="1" applyProtection="1">
      <alignment/>
      <protection/>
    </xf>
    <xf numFmtId="164" fontId="9" fillId="0" borderId="5" xfId="15" applyNumberFormat="1" applyFont="1" applyFill="1" applyBorder="1" applyAlignment="1" applyProtection="1">
      <alignment/>
      <protection/>
    </xf>
    <xf numFmtId="164" fontId="9" fillId="2" borderId="5" xfId="15"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0" xfId="21" applyNumberFormat="1" applyFont="1" applyFill="1" applyAlignment="1" applyProtection="1">
      <alignment/>
      <protection/>
    </xf>
    <xf numFmtId="0" fontId="3" fillId="0" borderId="0" xfId="0" applyNumberFormat="1" applyFont="1" applyFill="1" applyAlignment="1" applyProtection="1">
      <alignment horizontal="centerContinuous"/>
      <protection/>
    </xf>
    <xf numFmtId="0" fontId="0" fillId="0" borderId="0" xfId="0" applyNumberFormat="1" applyFont="1" applyFill="1" applyAlignment="1" applyProtection="1">
      <alignment horizontal="centerContinuous"/>
      <protection/>
    </xf>
    <xf numFmtId="0" fontId="0" fillId="0" borderId="0" xfId="0" applyNumberFormat="1" applyFont="1" applyFill="1" applyAlignment="1" applyProtection="1">
      <alignment/>
      <protection/>
    </xf>
    <xf numFmtId="0" fontId="0" fillId="0" borderId="0" xfId="21" applyNumberFormat="1" applyFont="1" applyFill="1" applyAlignment="1" applyProtection="1">
      <alignment/>
      <protection/>
    </xf>
    <xf numFmtId="0" fontId="0" fillId="0" borderId="0" xfId="21" applyNumberFormat="1" applyFont="1" applyFill="1" applyAlignment="1" applyProtection="1">
      <alignment horizontal="right"/>
      <protection/>
    </xf>
    <xf numFmtId="0" fontId="3" fillId="0" borderId="0" xfId="0" applyNumberFormat="1" applyFont="1" applyFill="1" applyAlignment="1" applyProtection="1">
      <alignment/>
      <protection/>
    </xf>
    <xf numFmtId="0" fontId="2" fillId="0" borderId="0" xfId="0" applyNumberFormat="1" applyFont="1" applyFill="1" applyAlignment="1" applyProtection="1">
      <alignment/>
      <protection/>
    </xf>
    <xf numFmtId="0" fontId="2" fillId="0" borderId="0" xfId="21" applyNumberFormat="1" applyFont="1" applyFill="1" applyAlignment="1" applyProtection="1">
      <alignment horizontal="right"/>
      <protection/>
    </xf>
    <xf numFmtId="0" fontId="0" fillId="0" borderId="0" xfId="0" applyNumberFormat="1" applyFont="1" applyFill="1" applyAlignment="1" applyProtection="1">
      <alignment/>
      <protection/>
    </xf>
    <xf numFmtId="0" fontId="2" fillId="0" borderId="0" xfId="21" applyNumberFormat="1" applyFont="1" applyFill="1" applyAlignment="1" applyProtection="1">
      <alignment/>
      <protection/>
    </xf>
    <xf numFmtId="0" fontId="2" fillId="0" borderId="0" xfId="0" applyNumberFormat="1" applyFont="1" applyFill="1" applyAlignment="1" applyProtection="1">
      <alignment horizontal="right"/>
      <protection/>
    </xf>
    <xf numFmtId="0" fontId="0" fillId="0" borderId="0" xfId="21" applyNumberFormat="1" applyFont="1" applyFill="1" applyAlignment="1" applyProtection="1">
      <alignment horizontal="right"/>
      <protection/>
    </xf>
    <xf numFmtId="0" fontId="0" fillId="0" borderId="0" xfId="0" applyNumberFormat="1" applyFont="1" applyFill="1" applyAlignment="1" applyProtection="1">
      <alignment horizontal="left"/>
      <protection/>
    </xf>
    <xf numFmtId="0" fontId="0" fillId="0" borderId="0" xfId="0" applyNumberFormat="1" applyFont="1" applyFill="1" applyAlignment="1" applyProtection="1">
      <alignment horizontal="center"/>
      <protection/>
    </xf>
    <xf numFmtId="0" fontId="2" fillId="0" borderId="0" xfId="0" applyNumberFormat="1" applyFont="1" applyFill="1" applyAlignment="1" applyProtection="1">
      <alignment horizontal="centerContinuous"/>
      <protection/>
    </xf>
    <xf numFmtId="0" fontId="0" fillId="0" borderId="0" xfId="0" applyNumberFormat="1" applyFont="1" applyFill="1" applyAlignment="1" applyProtection="1">
      <alignment horizontal="centerContinuous"/>
      <protection/>
    </xf>
    <xf numFmtId="0" fontId="2" fillId="0" borderId="0" xfId="15" applyNumberFormat="1" applyFont="1" applyFill="1" applyAlignment="1" applyProtection="1">
      <alignment horizontal="right"/>
      <protection/>
    </xf>
    <xf numFmtId="0" fontId="2" fillId="0" borderId="0" xfId="0" applyNumberFormat="1" applyFont="1" applyFill="1" applyAlignment="1" applyProtection="1">
      <alignment horizontal="center"/>
      <protection/>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quotePrefix="1">
      <alignment/>
      <protection/>
    </xf>
    <xf numFmtId="0" fontId="2" fillId="0" borderId="0" xfId="21" applyNumberFormat="1" applyFont="1" applyFill="1" applyAlignment="1" applyProtection="1">
      <alignment horizontal="center"/>
      <protection/>
    </xf>
    <xf numFmtId="0" fontId="1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quotePrefix="1">
      <alignment horizontal="center"/>
      <protection/>
    </xf>
    <xf numFmtId="0" fontId="0" fillId="0" borderId="0" xfId="0" applyNumberFormat="1" applyFont="1" applyFill="1" applyBorder="1" applyAlignment="1" applyProtection="1">
      <alignment/>
      <protection/>
    </xf>
    <xf numFmtId="0" fontId="0" fillId="0" borderId="0" xfId="15" applyNumberFormat="1" applyFont="1" applyFill="1" applyAlignment="1" applyProtection="1">
      <alignment/>
      <protection/>
    </xf>
    <xf numFmtId="0" fontId="0" fillId="0" borderId="0" xfId="0" applyNumberFormat="1" applyFill="1" applyAlignment="1" applyProtection="1">
      <alignment/>
      <protection/>
    </xf>
    <xf numFmtId="0" fontId="0" fillId="3" borderId="0" xfId="0" applyNumberFormat="1" applyFill="1" applyAlignment="1" applyProtection="1">
      <alignment/>
      <protection/>
    </xf>
    <xf numFmtId="1" fontId="0" fillId="0" borderId="0" xfId="0" applyNumberFormat="1" applyFont="1" applyFill="1" applyAlignment="1" applyProtection="1">
      <alignment/>
      <protection/>
    </xf>
    <xf numFmtId="1" fontId="0" fillId="0" borderId="0" xfId="15" applyNumberFormat="1" applyFont="1" applyFill="1" applyAlignment="1" applyProtection="1">
      <alignment/>
      <protection/>
    </xf>
    <xf numFmtId="1" fontId="0" fillId="0" borderId="0" xfId="0" applyNumberFormat="1" applyFont="1" applyFill="1" applyAlignment="1" applyProtection="1">
      <alignment/>
      <protection/>
    </xf>
    <xf numFmtId="1" fontId="0" fillId="0" borderId="0" xfId="15" applyNumberFormat="1" applyFont="1" applyFill="1" applyAlignment="1" applyProtection="1">
      <alignment/>
      <protection/>
    </xf>
    <xf numFmtId="1" fontId="0" fillId="0" borderId="0" xfId="21" applyNumberFormat="1" applyFont="1" applyFill="1" applyAlignment="1" applyProtection="1">
      <alignment/>
      <protection/>
    </xf>
    <xf numFmtId="10" fontId="0" fillId="0" borderId="0" xfId="21" applyNumberFormat="1" applyFont="1" applyFill="1" applyAlignment="1" applyProtection="1">
      <alignment/>
      <protection/>
    </xf>
    <xf numFmtId="10" fontId="0" fillId="0" borderId="0" xfId="21" applyNumberFormat="1" applyFont="1" applyFill="1" applyAlignment="1" applyProtection="1">
      <alignment horizontal="right"/>
      <protection/>
    </xf>
    <xf numFmtId="10" fontId="0" fillId="0" borderId="0" xfId="21" applyNumberFormat="1" applyFont="1" applyFill="1" applyAlignment="1" applyProtection="1">
      <alignment horizontal="right"/>
      <protection/>
    </xf>
    <xf numFmtId="10" fontId="2" fillId="0" borderId="0" xfId="21" applyNumberFormat="1" applyFont="1" applyFill="1" applyAlignment="1" applyProtection="1">
      <alignment horizontal="right"/>
      <protection/>
    </xf>
    <xf numFmtId="164" fontId="0" fillId="0" borderId="0" xfId="15" applyNumberFormat="1" applyFont="1" applyFill="1" applyAlignment="1" applyProtection="1">
      <alignment/>
      <protection/>
    </xf>
    <xf numFmtId="0" fontId="0" fillId="0" borderId="0" xfId="0" applyNumberFormat="1" applyFont="1" applyFill="1" applyAlignment="1" applyProtection="1">
      <alignment horizontal="left"/>
      <protection/>
    </xf>
    <xf numFmtId="0" fontId="0" fillId="0" borderId="0" xfId="0" applyNumberFormat="1" applyFont="1" applyFill="1" applyAlignment="1" applyProtection="1">
      <alignment/>
      <protection/>
    </xf>
    <xf numFmtId="164" fontId="0" fillId="0" borderId="0" xfId="15" applyNumberFormat="1" applyFont="1" applyFill="1" applyAlignment="1" applyProtection="1">
      <alignment/>
      <protection/>
    </xf>
    <xf numFmtId="197" fontId="0" fillId="0" borderId="0" xfId="0" applyNumberFormat="1" applyFont="1" applyFill="1" applyAlignment="1" applyProtection="1">
      <alignment/>
      <protection/>
    </xf>
    <xf numFmtId="164" fontId="0" fillId="0" borderId="0" xfId="0" applyNumberFormat="1" applyFont="1" applyFill="1" applyAlignment="1" applyProtection="1">
      <alignment/>
      <protection/>
    </xf>
    <xf numFmtId="10" fontId="0" fillId="0" borderId="0" xfId="0" applyNumberFormat="1" applyAlignment="1" applyProtection="1">
      <alignment/>
      <protection/>
    </xf>
    <xf numFmtId="198" fontId="0" fillId="0" borderId="0" xfId="0" applyNumberFormat="1" applyFont="1" applyFill="1" applyAlignment="1" applyProtection="1">
      <alignment/>
      <protection/>
    </xf>
    <xf numFmtId="0" fontId="0" fillId="0" borderId="0" xfId="0" applyAlignment="1" applyProtection="1">
      <alignment vertical="center" wrapText="1"/>
      <protection/>
    </xf>
    <xf numFmtId="0" fontId="2" fillId="0" borderId="0" xfId="0" applyFont="1" applyFill="1" applyBorder="1" applyAlignment="1" applyProtection="1">
      <alignment wrapText="1"/>
      <protection/>
    </xf>
    <xf numFmtId="17" fontId="0" fillId="0" borderId="0" xfId="0" applyNumberFormat="1" applyFont="1" applyAlignment="1" applyProtection="1" quotePrefix="1">
      <alignment/>
      <protection/>
    </xf>
    <xf numFmtId="0" fontId="12" fillId="0" borderId="0" xfId="0" applyFont="1" applyAlignment="1" applyProtection="1">
      <alignment horizontal="left" vertical="center"/>
      <protection/>
    </xf>
    <xf numFmtId="0" fontId="0" fillId="0" borderId="0" xfId="0" applyAlignment="1" applyProtection="1">
      <alignment horizontal="left"/>
      <protection/>
    </xf>
    <xf numFmtId="0" fontId="0" fillId="0" borderId="0" xfId="0" applyAlignment="1">
      <alignment/>
    </xf>
    <xf numFmtId="0" fontId="13" fillId="0" borderId="0" xfId="0" applyFont="1" applyBorder="1" applyAlignment="1" applyProtection="1">
      <alignment horizontal="right" vertical="distributed"/>
      <protection/>
    </xf>
    <xf numFmtId="0" fontId="0" fillId="0" borderId="0" xfId="0" applyAlignment="1" applyProtection="1">
      <alignment vertical="center" wrapText="1"/>
      <protection/>
    </xf>
    <xf numFmtId="0" fontId="3" fillId="0" borderId="6" xfId="0" applyFont="1" applyBorder="1" applyAlignment="1" applyProtection="1">
      <alignment horizontal="center"/>
      <protection/>
    </xf>
    <xf numFmtId="0" fontId="0" fillId="0" borderId="6" xfId="0" applyBorder="1" applyAlignment="1" applyProtection="1">
      <alignment/>
      <protection/>
    </xf>
    <xf numFmtId="0" fontId="2" fillId="0" borderId="0" xfId="0" applyFont="1" applyFill="1" applyBorder="1" applyAlignment="1" applyProtection="1">
      <alignment wrapText="1"/>
      <protection/>
    </xf>
    <xf numFmtId="0" fontId="4" fillId="0" borderId="0" xfId="20" applyFont="1" applyAlignment="1" applyProtection="1">
      <alignment/>
      <protection locked="0"/>
    </xf>
    <xf numFmtId="0" fontId="0" fillId="0" borderId="0" xfId="0" applyAlignment="1" applyProtection="1">
      <alignment/>
      <protection locked="0"/>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centerContinuous"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Change in Total Pay</a:t>
            </a:r>
          </a:p>
        </c:rich>
      </c:tx>
      <c:layout/>
      <c:spPr>
        <a:noFill/>
        <a:ln>
          <a:noFill/>
        </a:ln>
      </c:spPr>
    </c:title>
    <c:plotArea>
      <c:layout/>
      <c:lineChart>
        <c:grouping val="standard"/>
        <c:varyColors val="0"/>
        <c:ser>
          <c:idx val="0"/>
          <c:order val="0"/>
          <c:tx>
            <c:strRef>
              <c:f>Summary!#REF!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Summary!#REF!</c:f>
              <c:strCache>
                <c:ptCount val="1"/>
                <c:pt idx="0">
                  <c:v>1</c:v>
                </c:pt>
              </c:strCache>
            </c:strRef>
          </c:cat>
          <c:val>
            <c:numRef>
              <c:f>Summary!#REF!</c:f>
              <c:numCache>
                <c:ptCount val="1"/>
                <c:pt idx="0">
                  <c:v>1</c:v>
                </c:pt>
              </c:numCache>
            </c:numRef>
          </c:val>
          <c:smooth val="0"/>
        </c:ser>
        <c:ser>
          <c:idx val="1"/>
          <c:order val="1"/>
          <c:tx>
            <c:strRef>
              <c:f>Summary!#REF!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Summary!#REF!</c:f>
              <c:strCache>
                <c:ptCount val="1"/>
                <c:pt idx="0">
                  <c:v>1</c:v>
                </c:pt>
              </c:strCache>
            </c:strRef>
          </c:cat>
          <c:val>
            <c:numRef>
              <c:f>Summary!#REF!</c:f>
              <c:numCache>
                <c:ptCount val="1"/>
                <c:pt idx="0">
                  <c:v>1</c:v>
                </c:pt>
              </c:numCache>
            </c:numRef>
          </c:val>
          <c:smooth val="0"/>
        </c:ser>
        <c:marker val="1"/>
        <c:axId val="30255718"/>
        <c:axId val="3866007"/>
      </c:lineChart>
      <c:catAx>
        <c:axId val="30255718"/>
        <c:scaling>
          <c:orientation val="minMax"/>
        </c:scaling>
        <c:axPos val="b"/>
        <c:delete val="0"/>
        <c:numFmt formatCode="General" sourceLinked="1"/>
        <c:majorTickMark val="out"/>
        <c:minorTickMark val="none"/>
        <c:tickLblPos val="nextTo"/>
        <c:crossAx val="3866007"/>
        <c:crosses val="autoZero"/>
        <c:auto val="1"/>
        <c:lblOffset val="100"/>
        <c:noMultiLvlLbl val="0"/>
      </c:catAx>
      <c:valAx>
        <c:axId val="3866007"/>
        <c:scaling>
          <c:orientation val="minMax"/>
          <c:min val="45000"/>
        </c:scaling>
        <c:axPos val="l"/>
        <c:majorGridlines/>
        <c:delete val="0"/>
        <c:numFmt formatCode="General" sourceLinked="1"/>
        <c:majorTickMark val="out"/>
        <c:minorTickMark val="none"/>
        <c:tickLblPos val="nextTo"/>
        <c:crossAx val="302557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Retirement "High 3" Average
Puerto Rico</a:t>
            </a:r>
          </a:p>
        </c:rich>
      </c:tx>
      <c:layout/>
      <c:spPr>
        <a:noFill/>
        <a:ln>
          <a:noFill/>
        </a:ln>
      </c:spPr>
    </c:title>
    <c:plotArea>
      <c:layout/>
      <c:lineChart>
        <c:grouping val="standard"/>
        <c:varyColors val="0"/>
        <c:ser>
          <c:idx val="0"/>
          <c:order val="0"/>
          <c:tx>
            <c:strRef>
              <c:f>Summary!#REF!</c:f>
              <c:strCache>
                <c:ptCount val="1"/>
                <c:pt idx="0">
                  <c:v>#REF!</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Summary!#REF!</c:f>
              <c:strCache>
                <c:ptCount val="1"/>
                <c:pt idx="0">
                  <c:v>1</c:v>
                </c:pt>
              </c:strCache>
            </c:strRef>
          </c:cat>
          <c:val>
            <c:numRef>
              <c:f>Summary!#REF!</c:f>
              <c:numCache>
                <c:ptCount val="1"/>
                <c:pt idx="0">
                  <c:v>1</c:v>
                </c:pt>
              </c:numCache>
            </c:numRef>
          </c:val>
          <c:smooth val="0"/>
        </c:ser>
        <c:ser>
          <c:idx val="1"/>
          <c:order val="1"/>
          <c:tx>
            <c:strRef>
              <c:f>Summary!#REF!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Summary!#REF!</c:f>
              <c:strCache>
                <c:ptCount val="1"/>
                <c:pt idx="0">
                  <c:v>1</c:v>
                </c:pt>
              </c:strCache>
            </c:strRef>
          </c:cat>
          <c:val>
            <c:numRef>
              <c:f>Summary!#REF!</c:f>
              <c:numCache>
                <c:ptCount val="1"/>
                <c:pt idx="0">
                  <c:v>1</c:v>
                </c:pt>
              </c:numCache>
            </c:numRef>
          </c:val>
          <c:smooth val="0"/>
        </c:ser>
        <c:axId val="34794064"/>
        <c:axId val="44711121"/>
      </c:lineChart>
      <c:catAx>
        <c:axId val="34794064"/>
        <c:scaling>
          <c:orientation val="minMax"/>
        </c:scaling>
        <c:axPos val="b"/>
        <c:delete val="0"/>
        <c:numFmt formatCode="General" sourceLinked="1"/>
        <c:majorTickMark val="out"/>
        <c:minorTickMark val="none"/>
        <c:tickLblPos val="nextTo"/>
        <c:crossAx val="44711121"/>
        <c:crosses val="autoZero"/>
        <c:auto val="1"/>
        <c:lblOffset val="100"/>
        <c:noMultiLvlLbl val="0"/>
      </c:catAx>
      <c:valAx>
        <c:axId val="44711121"/>
        <c:scaling>
          <c:orientation val="minMax"/>
          <c:min val="45000"/>
        </c:scaling>
        <c:axPos val="l"/>
        <c:majorGridlines/>
        <c:delete val="0"/>
        <c:numFmt formatCode="General" sourceLinked="1"/>
        <c:majorTickMark val="out"/>
        <c:minorTickMark val="none"/>
        <c:tickLblPos val="nextTo"/>
        <c:crossAx val="34794064"/>
        <c:crossesAt val="1"/>
        <c:crossBetween val="between"/>
        <c:dispUnits/>
      </c:valAx>
      <c:spPr>
        <a:noFill/>
        <a:ln w="12700">
          <a:solidFill>
            <a:srgbClr val="808080"/>
          </a:solidFill>
        </a:ln>
      </c:spPr>
    </c:plotArea>
    <c:legend>
      <c:legendPos val="r"/>
      <c:layout/>
      <c:overlay val="0"/>
    </c:legend>
    <c:plotVisOnly val="1"/>
    <c:dispBlanksAs val="gap"/>
    <c:showDLblsOverMax val="0"/>
  </c:chart>
  <c:spPr>
    <a:noFill/>
  </c:spPr>
  <c:txPr>
    <a:bodyPr vert="horz" rot="0"/>
    <a:lstStyle/>
    <a:p>
      <a:pPr>
        <a:defRPr lang="en-US" cap="none" sz="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Current COLA vs Locality Pay
in Puerto Rico with 5% TSP Match</a:t>
            </a:r>
          </a:p>
        </c:rich>
      </c:tx>
      <c:layout/>
      <c:spPr>
        <a:noFill/>
        <a:ln>
          <a:noFill/>
        </a:ln>
      </c:spPr>
    </c:title>
    <c:plotArea>
      <c:layout/>
      <c:barChart>
        <c:barDir val="col"/>
        <c:grouping val="stacked"/>
        <c:varyColors val="0"/>
        <c:ser>
          <c:idx val="0"/>
          <c:order val="0"/>
          <c:tx>
            <c:strRef>
              <c:f>Summary!#REF!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Summary!#REF!</c:f>
              <c:strCache>
                <c:ptCount val="1"/>
                <c:pt idx="0">
                  <c:v>1</c:v>
                </c:pt>
              </c:strCache>
            </c:strRef>
          </c:cat>
          <c:val>
            <c:numRef>
              <c:f>Summary!#REF!</c:f>
              <c:numCache>
                <c:ptCount val="1"/>
                <c:pt idx="0">
                  <c:v>1</c:v>
                </c:pt>
              </c:numCache>
            </c:numRef>
          </c:val>
        </c:ser>
        <c:ser>
          <c:idx val="1"/>
          <c:order val="1"/>
          <c:tx>
            <c:strRef>
              <c:f>Summary!#REF!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Summary!#REF!</c:f>
              <c:strCache>
                <c:ptCount val="1"/>
                <c:pt idx="0">
                  <c:v>1</c:v>
                </c:pt>
              </c:strCache>
            </c:strRef>
          </c:cat>
          <c:val>
            <c:numRef>
              <c:f>Summary!#REF!</c:f>
              <c:numCache>
                <c:ptCount val="1"/>
                <c:pt idx="0">
                  <c:v>1</c:v>
                </c:pt>
              </c:numCache>
            </c:numRef>
          </c:val>
        </c:ser>
        <c:ser>
          <c:idx val="2"/>
          <c:order val="2"/>
          <c:tx>
            <c:strRef>
              <c:f>Summary!#REF!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Summary!#REF!</c:f>
              <c:strCache>
                <c:ptCount val="1"/>
                <c:pt idx="0">
                  <c:v>1</c:v>
                </c:pt>
              </c:strCache>
            </c:strRef>
          </c:cat>
          <c:val>
            <c:numRef>
              <c:f>Summary!#REF!</c:f>
              <c:numCache>
                <c:ptCount val="1"/>
                <c:pt idx="0">
                  <c:v>1</c:v>
                </c:pt>
              </c:numCache>
            </c:numRef>
          </c:val>
        </c:ser>
        <c:ser>
          <c:idx val="3"/>
          <c:order val="3"/>
          <c:tx>
            <c:strRef>
              <c:f>Summary!#REF!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Summary!#REF!</c:f>
              <c:strCache>
                <c:ptCount val="1"/>
                <c:pt idx="0">
                  <c:v>1</c:v>
                </c:pt>
              </c:strCache>
            </c:strRef>
          </c:cat>
          <c:val>
            <c:numRef>
              <c:f>Summary!#REF!</c:f>
              <c:numCache>
                <c:ptCount val="1"/>
                <c:pt idx="0">
                  <c:v>1</c:v>
                </c:pt>
              </c:numCache>
            </c:numRef>
          </c:val>
        </c:ser>
        <c:overlap val="100"/>
        <c:axId val="66855770"/>
        <c:axId val="64831019"/>
      </c:barChart>
      <c:catAx>
        <c:axId val="66855770"/>
        <c:scaling>
          <c:orientation val="minMax"/>
        </c:scaling>
        <c:axPos val="b"/>
        <c:delete val="0"/>
        <c:numFmt formatCode="General" sourceLinked="1"/>
        <c:majorTickMark val="out"/>
        <c:minorTickMark val="none"/>
        <c:tickLblPos val="nextTo"/>
        <c:crossAx val="64831019"/>
        <c:crosses val="autoZero"/>
        <c:auto val="1"/>
        <c:lblOffset val="100"/>
        <c:noMultiLvlLbl val="0"/>
      </c:catAx>
      <c:valAx>
        <c:axId val="64831019"/>
        <c:scaling>
          <c:orientation val="minMax"/>
          <c:min val="40000"/>
        </c:scaling>
        <c:axPos val="l"/>
        <c:majorGridlines/>
        <c:delete val="0"/>
        <c:numFmt formatCode="General" sourceLinked="1"/>
        <c:majorTickMark val="out"/>
        <c:minorTickMark val="none"/>
        <c:tickLblPos val="nextTo"/>
        <c:crossAx val="66855770"/>
        <c:crossesAt val="1"/>
        <c:crossBetween val="between"/>
        <c:dispUnits/>
      </c:valAx>
      <c:spPr>
        <a:solidFill>
          <a:srgbClr val="FFFFFF"/>
        </a:solidFill>
      </c:spPr>
    </c:plotArea>
    <c:legend>
      <c:legendPos val="r"/>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c:spPr>
  <c:txPr>
    <a:bodyPr vert="horz" rot="0"/>
    <a:lstStyle/>
    <a:p>
      <a:pPr>
        <a:defRPr lang="en-US" cap="none" sz="2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Changes in Puerto Rico Take Home Pay 
(Net of taxes and retirement)</a:t>
            </a:r>
          </a:p>
        </c:rich>
      </c:tx>
      <c:layout/>
      <c:spPr>
        <a:noFill/>
        <a:ln>
          <a:noFill/>
        </a:ln>
      </c:spPr>
    </c:title>
    <c:plotArea>
      <c:layout/>
      <c:lineChart>
        <c:grouping val="standard"/>
        <c:varyColors val="0"/>
        <c:ser>
          <c:idx val="0"/>
          <c:order val="0"/>
          <c:tx>
            <c:strRef>
              <c:f>Summary!#REF!</c:f>
              <c:strCache>
                <c:ptCount val="1"/>
                <c:pt idx="0">
                  <c:v>#REF!</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Summary!#REF!</c:f>
              <c:strCache>
                <c:ptCount val="1"/>
                <c:pt idx="0">
                  <c:v>1</c:v>
                </c:pt>
              </c:strCache>
            </c:strRef>
          </c:cat>
          <c:val>
            <c:numRef>
              <c:f>Summary!#REF!</c:f>
              <c:numCache>
                <c:ptCount val="1"/>
                <c:pt idx="0">
                  <c:v>1</c:v>
                </c:pt>
              </c:numCache>
            </c:numRef>
          </c:val>
          <c:smooth val="0"/>
        </c:ser>
        <c:ser>
          <c:idx val="1"/>
          <c:order val="1"/>
          <c:tx>
            <c:strRef>
              <c:f>Summary!#REF!</c:f>
              <c:strCache>
                <c:ptCount val="1"/>
                <c:pt idx="0">
                  <c:v>#REF!</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FF"/>
              </a:solidFill>
              <a:ln>
                <a:solidFill>
                  <a:srgbClr val="FF00FF"/>
                </a:solidFill>
              </a:ln>
            </c:spPr>
          </c:marker>
          <c:cat>
            <c:strRef>
              <c:f>Summary!#REF!</c:f>
              <c:strCache>
                <c:ptCount val="1"/>
                <c:pt idx="0">
                  <c:v>1</c:v>
                </c:pt>
              </c:strCache>
            </c:strRef>
          </c:cat>
          <c:val>
            <c:numRef>
              <c:f>Summary!#REF!</c:f>
              <c:numCache>
                <c:ptCount val="1"/>
                <c:pt idx="0">
                  <c:v>1</c:v>
                </c:pt>
              </c:numCache>
            </c:numRef>
          </c:val>
          <c:smooth val="0"/>
        </c:ser>
        <c:marker val="1"/>
        <c:axId val="46608260"/>
        <c:axId val="16821157"/>
      </c:lineChart>
      <c:catAx>
        <c:axId val="46608260"/>
        <c:scaling>
          <c:orientation val="minMax"/>
        </c:scaling>
        <c:axPos val="b"/>
        <c:delete val="0"/>
        <c:numFmt formatCode="General" sourceLinked="1"/>
        <c:majorTickMark val="out"/>
        <c:minorTickMark val="none"/>
        <c:tickLblPos val="nextTo"/>
        <c:crossAx val="16821157"/>
        <c:crosses val="autoZero"/>
        <c:auto val="1"/>
        <c:lblOffset val="100"/>
        <c:noMultiLvlLbl val="0"/>
      </c:catAx>
      <c:valAx>
        <c:axId val="16821157"/>
        <c:scaling>
          <c:orientation val="minMax"/>
          <c:min val="1650"/>
        </c:scaling>
        <c:axPos val="l"/>
        <c:majorGridlines>
          <c:spPr>
            <a:ln w="12700">
              <a:solidFill/>
            </a:ln>
          </c:spPr>
        </c:majorGridlines>
        <c:delete val="0"/>
        <c:numFmt formatCode="General" sourceLinked="1"/>
        <c:majorTickMark val="out"/>
        <c:minorTickMark val="none"/>
        <c:tickLblPos val="nextTo"/>
        <c:crossAx val="4660826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0.12975</cdr:x>
      <cdr:y>0.4525</cdr:y>
    </cdr:from>
    <cdr:to>
      <cdr:x>0.25725</cdr:x>
      <cdr:y>0.47475</cdr:y>
    </cdr:to>
    <cdr:sp>
      <cdr:nvSpPr>
        <cdr:cNvPr id="1" name="TextBox 1"/>
        <cdr:cNvSpPr txBox="1">
          <a:spLocks noChangeArrowheads="1"/>
        </cdr:cNvSpPr>
      </cdr:nvSpPr>
      <cdr:spPr>
        <a:xfrm>
          <a:off x="657225" y="0"/>
          <a:ext cx="647700" cy="0"/>
        </a:xfrm>
        <a:prstGeom prst="rect">
          <a:avLst/>
        </a:prstGeom>
        <a:noFill/>
        <a:ln w="9525" cmpd="sng">
          <a:noFill/>
        </a:ln>
      </cdr:spPr>
      <cdr:txBody>
        <a:bodyPr vertOverflow="clip" wrap="square"/>
        <a:p>
          <a:pPr algn="l">
            <a:defRPr/>
          </a:pPr>
          <a:r>
            <a:rPr lang="en-US" cap="none" sz="225" b="0" i="0" u="none" baseline="0">
              <a:latin typeface="Arial"/>
              <a:ea typeface="Arial"/>
              <a:cs typeface="Arial"/>
            </a:rPr>
            <a:t>Current</a:t>
          </a:r>
        </a:p>
      </cdr:txBody>
    </cdr:sp>
  </cdr:relSizeAnchor>
  <cdr:relSizeAnchor xmlns:cdr="http://schemas.openxmlformats.org/drawingml/2006/chartDrawing">
    <cdr:from>
      <cdr:x>0.48425</cdr:x>
      <cdr:y>0.4525</cdr:y>
    </cdr:from>
    <cdr:to>
      <cdr:x>0.65875</cdr:x>
      <cdr:y>0.47475</cdr:y>
    </cdr:to>
    <cdr:sp>
      <cdr:nvSpPr>
        <cdr:cNvPr id="2" name="TextBox 2"/>
        <cdr:cNvSpPr txBox="1">
          <a:spLocks noChangeArrowheads="1"/>
        </cdr:cNvSpPr>
      </cdr:nvSpPr>
      <cdr:spPr>
        <a:xfrm>
          <a:off x="2457450" y="0"/>
          <a:ext cx="885825" cy="0"/>
        </a:xfrm>
        <a:prstGeom prst="rect">
          <a:avLst/>
        </a:prstGeom>
        <a:noFill/>
        <a:ln w="9525" cmpd="sng">
          <a:noFill/>
        </a:ln>
      </cdr:spPr>
      <cdr:txBody>
        <a:bodyPr vertOverflow="clip" wrap="square"/>
        <a:p>
          <a:pPr algn="l">
            <a:defRPr/>
          </a:pPr>
          <a:r>
            <a:rPr lang="en-US" cap="none" sz="225" b="0" i="0" u="none" baseline="0">
              <a:latin typeface="Arial"/>
              <a:ea typeface="Arial"/>
              <a:cs typeface="Arial"/>
            </a:rPr>
            <a:t>Proposed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36</xdr:row>
      <xdr:rowOff>0</xdr:rowOff>
    </xdr:from>
    <xdr:to>
      <xdr:col>19</xdr:col>
      <xdr:colOff>438150</xdr:colOff>
      <xdr:row>36</xdr:row>
      <xdr:rowOff>0</xdr:rowOff>
    </xdr:to>
    <xdr:graphicFrame>
      <xdr:nvGraphicFramePr>
        <xdr:cNvPr id="1" name="Chart 1"/>
        <xdr:cNvGraphicFramePr/>
      </xdr:nvGraphicFramePr>
      <xdr:xfrm>
        <a:off x="8829675" y="6096000"/>
        <a:ext cx="4133850"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36</xdr:row>
      <xdr:rowOff>0</xdr:rowOff>
    </xdr:from>
    <xdr:to>
      <xdr:col>6</xdr:col>
      <xdr:colOff>762000</xdr:colOff>
      <xdr:row>36</xdr:row>
      <xdr:rowOff>0</xdr:rowOff>
    </xdr:to>
    <xdr:graphicFrame>
      <xdr:nvGraphicFramePr>
        <xdr:cNvPr id="2" name="Chart 5"/>
        <xdr:cNvGraphicFramePr/>
      </xdr:nvGraphicFramePr>
      <xdr:xfrm>
        <a:off x="609600" y="6096000"/>
        <a:ext cx="4238625" cy="0"/>
      </xdr:xfrm>
      <a:graphic>
        <a:graphicData uri="http://schemas.openxmlformats.org/drawingml/2006/chart">
          <c:chart xmlns:c="http://schemas.openxmlformats.org/drawingml/2006/chart" r:id="rId2"/>
        </a:graphicData>
      </a:graphic>
    </xdr:graphicFrame>
    <xdr:clientData/>
  </xdr:twoCellAnchor>
  <xdr:twoCellAnchor>
    <xdr:from>
      <xdr:col>7</xdr:col>
      <xdr:colOff>161925</xdr:colOff>
      <xdr:row>36</xdr:row>
      <xdr:rowOff>0</xdr:rowOff>
    </xdr:from>
    <xdr:to>
      <xdr:col>15</xdr:col>
      <xdr:colOff>104775</xdr:colOff>
      <xdr:row>36</xdr:row>
      <xdr:rowOff>0</xdr:rowOff>
    </xdr:to>
    <xdr:graphicFrame>
      <xdr:nvGraphicFramePr>
        <xdr:cNvPr id="3" name="Chart 6"/>
        <xdr:cNvGraphicFramePr/>
      </xdr:nvGraphicFramePr>
      <xdr:xfrm>
        <a:off x="5010150" y="6096000"/>
        <a:ext cx="5076825" cy="0"/>
      </xdr:xfrm>
      <a:graphic>
        <a:graphicData uri="http://schemas.openxmlformats.org/drawingml/2006/chart">
          <c:chart xmlns:c="http://schemas.openxmlformats.org/drawingml/2006/chart" r:id="rId3"/>
        </a:graphicData>
      </a:graphic>
    </xdr:graphicFrame>
    <xdr:clientData/>
  </xdr:twoCellAnchor>
  <xdr:twoCellAnchor>
    <xdr:from>
      <xdr:col>5</xdr:col>
      <xdr:colOff>19050</xdr:colOff>
      <xdr:row>36</xdr:row>
      <xdr:rowOff>0</xdr:rowOff>
    </xdr:from>
    <xdr:to>
      <xdr:col>11</xdr:col>
      <xdr:colOff>104775</xdr:colOff>
      <xdr:row>36</xdr:row>
      <xdr:rowOff>0</xdr:rowOff>
    </xdr:to>
    <xdr:graphicFrame>
      <xdr:nvGraphicFramePr>
        <xdr:cNvPr id="4" name="Chart 7"/>
        <xdr:cNvGraphicFramePr/>
      </xdr:nvGraphicFramePr>
      <xdr:xfrm>
        <a:off x="3209925" y="6096000"/>
        <a:ext cx="441960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pm.gov/oca/cola/rates.as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M41"/>
  <sheetViews>
    <sheetView tabSelected="1" workbookViewId="0" topLeftCell="B1">
      <selection activeCell="C3" sqref="C3"/>
    </sheetView>
  </sheetViews>
  <sheetFormatPr defaultColWidth="9.140625" defaultRowHeight="12.75"/>
  <cols>
    <col min="1" max="1" width="2.140625" style="1" customWidth="1"/>
    <col min="2" max="2" width="18.00390625" style="1" customWidth="1"/>
    <col min="3" max="3" width="10.8515625" style="1" customWidth="1"/>
    <col min="4" max="4" width="10.421875" style="1" customWidth="1"/>
    <col min="5" max="5" width="9.7109375" style="1" customWidth="1"/>
    <col min="6" max="6" width="11.140625" style="1" customWidth="1"/>
    <col min="7" max="7" width="14.140625" style="1" customWidth="1"/>
    <col min="8" max="8" width="12.421875" style="1" customWidth="1"/>
    <col min="9" max="9" width="9.28125" style="1" customWidth="1"/>
    <col min="10" max="10" width="9.421875" style="1" customWidth="1"/>
    <col min="11" max="11" width="8.7109375" style="1" customWidth="1"/>
    <col min="12" max="12" width="8.8515625" style="1" customWidth="1"/>
    <col min="13" max="13" width="11.8515625" style="1" customWidth="1"/>
    <col min="14" max="14" width="2.8515625" style="1" customWidth="1"/>
    <col min="15" max="16384" width="9.140625" style="1" customWidth="1"/>
  </cols>
  <sheetData>
    <row r="1" spans="2:13" s="22" customFormat="1" ht="39.75" customHeight="1" thickBot="1">
      <c r="B1" s="88" t="s">
        <v>87</v>
      </c>
      <c r="C1" s="89"/>
      <c r="D1" s="89"/>
      <c r="E1" s="89"/>
      <c r="F1" s="89"/>
      <c r="G1" s="89"/>
      <c r="H1" s="89"/>
      <c r="I1" s="89"/>
      <c r="J1" s="89"/>
      <c r="K1" s="89"/>
      <c r="L1" s="89"/>
      <c r="M1" s="90"/>
    </row>
    <row r="2" spans="2:12" ht="41.25" customHeight="1" thickTop="1">
      <c r="B2" s="11" t="s">
        <v>60</v>
      </c>
      <c r="C2" s="15">
        <v>50000</v>
      </c>
      <c r="D2" s="91" t="s">
        <v>58</v>
      </c>
      <c r="E2" s="95" t="s">
        <v>79</v>
      </c>
      <c r="F2" s="95"/>
      <c r="G2" s="95"/>
      <c r="H2" s="95"/>
      <c r="I2" s="95"/>
      <c r="J2" s="95"/>
      <c r="K2" s="86"/>
      <c r="L2" s="86"/>
    </row>
    <row r="3" spans="2:12" ht="27" customHeight="1">
      <c r="B3" s="11" t="s">
        <v>73</v>
      </c>
      <c r="C3" s="16">
        <v>0.24</v>
      </c>
      <c r="D3" s="91"/>
      <c r="E3" s="92" t="s">
        <v>90</v>
      </c>
      <c r="F3" s="92"/>
      <c r="G3" s="92"/>
      <c r="H3" s="92"/>
      <c r="I3" s="92"/>
      <c r="J3" s="92"/>
      <c r="K3" s="85"/>
      <c r="L3" s="85"/>
    </row>
    <row r="4" spans="2:12" ht="21.75" customHeight="1" thickBot="1">
      <c r="B4" s="12" t="s">
        <v>72</v>
      </c>
      <c r="C4" s="17">
        <v>0.2038</v>
      </c>
      <c r="D4" s="91"/>
      <c r="E4" s="92"/>
      <c r="F4" s="92"/>
      <c r="G4" s="92"/>
      <c r="H4" s="92"/>
      <c r="I4" s="92"/>
      <c r="J4" s="92"/>
      <c r="K4" s="85"/>
      <c r="L4" s="85"/>
    </row>
    <row r="5" spans="3:12" ht="45.75" customHeight="1" thickTop="1">
      <c r="C5" s="20"/>
      <c r="D5" s="91"/>
      <c r="E5" s="92"/>
      <c r="F5" s="92"/>
      <c r="G5" s="92"/>
      <c r="H5" s="92"/>
      <c r="I5" s="92"/>
      <c r="J5" s="92"/>
      <c r="K5" s="85"/>
      <c r="L5" s="85"/>
    </row>
    <row r="6" spans="2:7" ht="12.75" customHeight="1">
      <c r="B6" s="6"/>
      <c r="C6" s="6"/>
      <c r="D6" s="6"/>
      <c r="E6" s="6"/>
      <c r="F6" s="6"/>
      <c r="G6" s="6"/>
    </row>
    <row r="7" spans="2:9" ht="12.75" customHeight="1">
      <c r="B7" s="21" t="s">
        <v>59</v>
      </c>
      <c r="G7" s="96" t="s">
        <v>89</v>
      </c>
      <c r="H7" s="97"/>
      <c r="I7" s="97"/>
    </row>
    <row r="8" ht="12.75" customHeight="1">
      <c r="B8" s="8" t="s">
        <v>71</v>
      </c>
    </row>
    <row r="9" spans="2:4" ht="12.75">
      <c r="B9" s="4" t="s">
        <v>86</v>
      </c>
      <c r="D9" s="19"/>
    </row>
    <row r="10" spans="2:4" ht="12.75">
      <c r="B10" s="9" t="s">
        <v>95</v>
      </c>
      <c r="D10" s="19"/>
    </row>
    <row r="11" spans="2:4" ht="12.75">
      <c r="B11" s="9" t="s">
        <v>96</v>
      </c>
      <c r="D11" s="19"/>
    </row>
    <row r="12" spans="2:4" ht="12.75">
      <c r="B12" s="9" t="s">
        <v>98</v>
      </c>
      <c r="D12" s="19"/>
    </row>
    <row r="13" spans="2:4" ht="12.75">
      <c r="B13" s="9" t="s">
        <v>97</v>
      </c>
      <c r="D13" s="19"/>
    </row>
    <row r="14" spans="2:4" ht="12.75">
      <c r="B14" s="9" t="s">
        <v>81</v>
      </c>
      <c r="C14" s="4"/>
      <c r="D14" s="10"/>
    </row>
    <row r="15" spans="2:7" ht="12.75">
      <c r="B15" s="10" t="s">
        <v>91</v>
      </c>
      <c r="D15" s="19"/>
      <c r="G15" s="4"/>
    </row>
    <row r="16" spans="2:4" ht="12.75">
      <c r="B16" s="9" t="s">
        <v>92</v>
      </c>
      <c r="D16" s="19"/>
    </row>
    <row r="17" spans="4:7" ht="12.75">
      <c r="D17" s="19"/>
      <c r="G17" s="4"/>
    </row>
    <row r="18" spans="4:12" ht="12.75">
      <c r="D18" s="19"/>
      <c r="E18" s="6"/>
      <c r="F18" s="6"/>
      <c r="G18" s="24" t="s">
        <v>78</v>
      </c>
      <c r="H18" s="6"/>
      <c r="I18" s="2" t="s">
        <v>22</v>
      </c>
      <c r="J18" s="22"/>
      <c r="K18" s="19"/>
      <c r="L18" s="19"/>
    </row>
    <row r="19" spans="2:12" ht="12.75">
      <c r="B19" s="10"/>
      <c r="F19" s="23"/>
      <c r="G19" s="24" t="s">
        <v>74</v>
      </c>
      <c r="H19" s="25" t="s">
        <v>55</v>
      </c>
      <c r="I19" s="26" t="s">
        <v>102</v>
      </c>
      <c r="J19" s="2"/>
      <c r="K19" s="98"/>
      <c r="L19" s="98"/>
    </row>
    <row r="20" spans="2:12" ht="12.75">
      <c r="B20" s="87"/>
      <c r="G20" s="24" t="s">
        <v>75</v>
      </c>
      <c r="H20" s="27" t="s">
        <v>65</v>
      </c>
      <c r="I20" s="2" t="s">
        <v>101</v>
      </c>
      <c r="J20" s="3"/>
      <c r="L20" s="99"/>
    </row>
    <row r="21" spans="7:13" ht="12.75">
      <c r="G21" s="7" t="s">
        <v>11</v>
      </c>
      <c r="H21" s="27" t="s">
        <v>64</v>
      </c>
      <c r="I21" s="26" t="s">
        <v>68</v>
      </c>
      <c r="J21" s="3"/>
      <c r="K21" s="2" t="s">
        <v>99</v>
      </c>
      <c r="L21" s="2"/>
      <c r="M21" s="25" t="s">
        <v>62</v>
      </c>
    </row>
    <row r="22" spans="5:13" ht="12.75">
      <c r="E22" s="27" t="s">
        <v>66</v>
      </c>
      <c r="G22" s="24" t="s">
        <v>76</v>
      </c>
      <c r="H22" s="27" t="s">
        <v>69</v>
      </c>
      <c r="I22" s="2" t="s">
        <v>26</v>
      </c>
      <c r="J22" s="3"/>
      <c r="K22" s="2" t="s">
        <v>100</v>
      </c>
      <c r="L22" s="100"/>
      <c r="M22" s="25" t="s">
        <v>63</v>
      </c>
    </row>
    <row r="23" spans="2:13" ht="12.75" customHeight="1">
      <c r="B23" s="27" t="s">
        <v>24</v>
      </c>
      <c r="C23" s="27" t="s">
        <v>54</v>
      </c>
      <c r="D23" s="27" t="s">
        <v>1</v>
      </c>
      <c r="E23" s="27" t="s">
        <v>67</v>
      </c>
      <c r="F23" s="5" t="str">
        <f>+Summary!F17</f>
        <v>Total Pay</v>
      </c>
      <c r="G23" s="24" t="s">
        <v>77</v>
      </c>
      <c r="H23" s="27" t="s">
        <v>70</v>
      </c>
      <c r="I23" s="5" t="s">
        <v>5</v>
      </c>
      <c r="J23" s="5" t="s">
        <v>6</v>
      </c>
      <c r="K23" s="5" t="s">
        <v>5</v>
      </c>
      <c r="L23" s="5" t="s">
        <v>6</v>
      </c>
      <c r="M23" s="25" t="s">
        <v>26</v>
      </c>
    </row>
    <row r="24" spans="2:13" ht="15">
      <c r="B24" s="28">
        <v>2008</v>
      </c>
      <c r="C24" s="29">
        <f>+Summary!C18</f>
        <v>50000</v>
      </c>
      <c r="D24" s="29">
        <f>+Summary!D18</f>
        <v>12000</v>
      </c>
      <c r="E24" s="29">
        <f>+Summary!E18</f>
        <v>0</v>
      </c>
      <c r="F24" s="30">
        <f>+Summary!F18</f>
        <v>62000</v>
      </c>
      <c r="H24" s="29">
        <f>+Summary!H18</f>
        <v>50000</v>
      </c>
      <c r="I24" s="31">
        <f>+Summary!M18</f>
        <v>1953.5697172975563</v>
      </c>
      <c r="J24" s="31">
        <f>+Summary!N18</f>
        <v>1953.5697172975563</v>
      </c>
      <c r="K24" s="31"/>
      <c r="L24" s="31"/>
      <c r="M24" s="29">
        <f>+Summary!Q18</f>
        <v>50000</v>
      </c>
    </row>
    <row r="25" spans="2:13" ht="15.75" customHeight="1">
      <c r="B25" s="93" t="s">
        <v>56</v>
      </c>
      <c r="C25" s="94"/>
      <c r="D25" s="94"/>
      <c r="E25" s="94"/>
      <c r="F25" s="94"/>
      <c r="G25" s="94"/>
      <c r="H25" s="94"/>
      <c r="I25" s="94"/>
      <c r="J25" s="94"/>
      <c r="K25" s="94"/>
      <c r="L25" s="94"/>
      <c r="M25" s="94"/>
    </row>
    <row r="26" spans="2:13" ht="15" customHeight="1">
      <c r="B26" s="32">
        <f>+B24+1</f>
        <v>2009</v>
      </c>
      <c r="C26" s="33">
        <f>+Summary!C21</f>
        <v>51249.99999999999</v>
      </c>
      <c r="D26" s="33">
        <f>+Summary!D21</f>
        <v>12299.999999999998</v>
      </c>
      <c r="E26" s="33">
        <f>+Summary!E21</f>
        <v>0</v>
      </c>
      <c r="F26" s="34">
        <f>+Summary!F21</f>
        <v>63549.99999999999</v>
      </c>
      <c r="G26" s="33"/>
      <c r="H26" s="33">
        <f>+Summary!H21</f>
        <v>51249.99999999999</v>
      </c>
      <c r="I26" s="33">
        <f>+Summary!M21</f>
        <v>1996.9381887877332</v>
      </c>
      <c r="J26" s="33">
        <f>+Summary!N21</f>
        <v>1996.9573550551027</v>
      </c>
      <c r="K26" s="33">
        <f>+I26-I$24</f>
        <v>43.368471490176944</v>
      </c>
      <c r="L26" s="33">
        <f>+J26-J$24</f>
        <v>43.38763775754637</v>
      </c>
      <c r="M26" s="33">
        <f>+Summary!Q21</f>
        <v>50416.666666666664</v>
      </c>
    </row>
    <row r="27" spans="2:13" ht="15">
      <c r="B27" s="32">
        <f aca="true" t="shared" si="0" ref="B27:B32">+B26+1</f>
        <v>2010</v>
      </c>
      <c r="C27" s="33">
        <f>+Summary!C22</f>
        <v>52531.249999999985</v>
      </c>
      <c r="D27" s="33">
        <f>+Summary!D22</f>
        <v>12607.499999999996</v>
      </c>
      <c r="E27" s="33">
        <f>+Summary!E22</f>
        <v>0</v>
      </c>
      <c r="F27" s="34">
        <f>+Summary!F22</f>
        <v>65138.749999999985</v>
      </c>
      <c r="G27" s="33"/>
      <c r="H27" s="33">
        <f>+Summary!H22</f>
        <v>52531.249999999985</v>
      </c>
      <c r="I27" s="33">
        <f>+Summary!M22</f>
        <v>2041.4368711068514</v>
      </c>
      <c r="J27" s="33">
        <f>+Summary!N22</f>
        <v>2041.429683756588</v>
      </c>
      <c r="K27" s="33">
        <f>+I27-I26</f>
        <v>44.49868231911819</v>
      </c>
      <c r="L27" s="33">
        <f>+J27-J26</f>
        <v>44.47232870148537</v>
      </c>
      <c r="M27" s="33">
        <f>+Summary!Q22</f>
        <v>51260.416666666664</v>
      </c>
    </row>
    <row r="28" spans="2:13" ht="15">
      <c r="B28" s="32">
        <f t="shared" si="0"/>
        <v>2011</v>
      </c>
      <c r="C28" s="33">
        <f>+Summary!C23</f>
        <v>53844.53124999998</v>
      </c>
      <c r="D28" s="33">
        <f>+Summary!D23</f>
        <v>12922.687499999995</v>
      </c>
      <c r="E28" s="33">
        <f>+Summary!E23</f>
        <v>0</v>
      </c>
      <c r="F28" s="34">
        <f>+Summary!F23</f>
        <v>66767.21874999997</v>
      </c>
      <c r="G28" s="33"/>
      <c r="H28" s="33">
        <f>+Summary!H23</f>
        <v>53844.53124999998</v>
      </c>
      <c r="I28" s="33">
        <f>+Summary!M23</f>
        <v>2087.0183127695245</v>
      </c>
      <c r="J28" s="33">
        <f>+Summary!N23</f>
        <v>2087.01382067561</v>
      </c>
      <c r="K28" s="33">
        <f>+I28-I27</f>
        <v>45.581441662673114</v>
      </c>
      <c r="L28" s="33">
        <f>+J28-J27</f>
        <v>45.58413691902206</v>
      </c>
      <c r="M28" s="33">
        <f>+Summary!Q23</f>
        <v>52541.927083333314</v>
      </c>
    </row>
    <row r="29" spans="2:13" ht="15">
      <c r="B29" s="32">
        <f t="shared" si="0"/>
        <v>2012</v>
      </c>
      <c r="C29" s="33">
        <f>+Summary!C24</f>
        <v>55190.64453124997</v>
      </c>
      <c r="D29" s="33">
        <f>+Summary!D24</f>
        <v>13245.754687499992</v>
      </c>
      <c r="E29" s="33">
        <f>+Summary!E24</f>
        <v>0</v>
      </c>
      <c r="F29" s="34">
        <f>+Summary!F24</f>
        <v>68436.39921874997</v>
      </c>
      <c r="G29" s="33"/>
      <c r="H29" s="33">
        <f>+Summary!H24</f>
        <v>55190.64453124997</v>
      </c>
      <c r="I29" s="33">
        <f>+Summary!M24</f>
        <v>2133.7507902341868</v>
      </c>
      <c r="J29" s="33">
        <f>+Summary!N24</f>
        <v>2133.737561017608</v>
      </c>
      <c r="K29" s="33">
        <f>+I29-I28</f>
        <v>46.732477464662225</v>
      </c>
      <c r="L29" s="33">
        <f>+J29-J28</f>
        <v>46.72374034199811</v>
      </c>
      <c r="M29" s="33">
        <f>+Summary!Q24</f>
        <v>53855.47526041665</v>
      </c>
    </row>
    <row r="30" spans="2:13" ht="15">
      <c r="B30" s="32">
        <f t="shared" si="0"/>
        <v>2013</v>
      </c>
      <c r="C30" s="33">
        <f>+Summary!C25</f>
        <v>56570.41064453121</v>
      </c>
      <c r="D30" s="33">
        <f>+Summary!D25</f>
        <v>13576.89855468749</v>
      </c>
      <c r="E30" s="33">
        <f>+Summary!E25</f>
        <v>0</v>
      </c>
      <c r="F30" s="34">
        <f>+Summary!F25</f>
        <v>70147.3091992187</v>
      </c>
      <c r="G30" s="33"/>
      <c r="H30" s="33">
        <f>+Summary!H25</f>
        <v>56570.41064453121</v>
      </c>
      <c r="I30" s="33">
        <f>+Summary!M25</f>
        <v>2181.626663487885</v>
      </c>
      <c r="J30" s="33">
        <f>+Summary!N25</f>
        <v>2181.6293948681555</v>
      </c>
      <c r="K30" s="33">
        <f>+I30-I29</f>
        <v>47.875873253698046</v>
      </c>
      <c r="L30" s="33">
        <f>+J30-J29</f>
        <v>47.8918338505473</v>
      </c>
      <c r="M30" s="33">
        <f>+Summary!Q25</f>
        <v>55201.86214192706</v>
      </c>
    </row>
    <row r="31" spans="2:13" ht="15">
      <c r="B31" s="32">
        <f t="shared" si="0"/>
        <v>2014</v>
      </c>
      <c r="C31" s="33">
        <f>+Summary!C26</f>
        <v>57984.67091064449</v>
      </c>
      <c r="D31" s="33">
        <f>+Summary!D26</f>
        <v>13916.321018554678</v>
      </c>
      <c r="E31" s="33">
        <f>+Summary!E26</f>
        <v>0</v>
      </c>
      <c r="F31" s="34">
        <f>+Summary!F26</f>
        <v>71900.99192919917</v>
      </c>
      <c r="G31" s="33"/>
      <c r="H31" s="33">
        <f>+Summary!H26</f>
        <v>57984.67091064449</v>
      </c>
      <c r="I31" s="33">
        <f>+Summary!M26</f>
        <v>2230.71572490019</v>
      </c>
      <c r="J31" s="33">
        <f>+Summary!N26</f>
        <v>2230.7185245649675</v>
      </c>
      <c r="K31" s="33">
        <f>+I31-I30</f>
        <v>49.089061412305</v>
      </c>
      <c r="L31" s="33">
        <f>+J31-J30</f>
        <v>49.08912969681205</v>
      </c>
      <c r="M31" s="33">
        <f>+Summary!Q26</f>
        <v>56581.90869547523</v>
      </c>
    </row>
    <row r="32" spans="2:13" ht="15" customHeight="1">
      <c r="B32" s="32">
        <f t="shared" si="0"/>
        <v>2015</v>
      </c>
      <c r="C32" s="33">
        <f>+Summary!C27</f>
        <v>59434.2876834106</v>
      </c>
      <c r="D32" s="33">
        <f>+Summary!D27</f>
        <v>14264.229044018542</v>
      </c>
      <c r="E32" s="33">
        <f>+Summary!E27</f>
        <v>0</v>
      </c>
      <c r="F32" s="34">
        <f>+Summary!F27</f>
        <v>73698.51672742915</v>
      </c>
      <c r="G32" s="33"/>
      <c r="H32" s="33">
        <f>+Summary!H27</f>
        <v>59434.2876834106</v>
      </c>
      <c r="I32" s="33">
        <f>+Summary!M27</f>
        <v>2281.0502208018033</v>
      </c>
      <c r="J32" s="33">
        <f>+Summary!N27</f>
        <v>2281.0348825041992</v>
      </c>
      <c r="K32" s="33">
        <f>+I32-I31</f>
        <v>50.334495901613536</v>
      </c>
      <c r="L32" s="33">
        <f>+J32-J31</f>
        <v>50.31635793923169</v>
      </c>
      <c r="M32" s="33">
        <f>+Summary!Q27</f>
        <v>57996.456412862106</v>
      </c>
    </row>
    <row r="33" spans="2:13" ht="15.75">
      <c r="B33" s="93" t="s">
        <v>57</v>
      </c>
      <c r="C33" s="94"/>
      <c r="D33" s="94"/>
      <c r="E33" s="94"/>
      <c r="F33" s="94"/>
      <c r="G33" s="94"/>
      <c r="H33" s="94"/>
      <c r="I33" s="94"/>
      <c r="J33" s="94"/>
      <c r="K33" s="94"/>
      <c r="L33" s="94"/>
      <c r="M33" s="94"/>
    </row>
    <row r="34" spans="2:13" ht="15" customHeight="1">
      <c r="B34" s="32">
        <f aca="true" t="shared" si="1" ref="B34:B40">+B26</f>
        <v>2009</v>
      </c>
      <c r="C34" s="33">
        <f>+Summary!C30</f>
        <v>51249.99999999999</v>
      </c>
      <c r="D34" s="33">
        <f>+Summary!D30</f>
        <v>10836.199999999999</v>
      </c>
      <c r="E34" s="33">
        <f>+Summary!E30</f>
        <v>2252</v>
      </c>
      <c r="F34" s="34">
        <f>+Summary!F30</f>
        <v>64338.19999999999</v>
      </c>
      <c r="G34" s="35">
        <f aca="true" t="shared" si="2" ref="G34:G40">+F34-F26</f>
        <v>788.1999999999971</v>
      </c>
      <c r="H34" s="33">
        <f>+Summary!H30</f>
        <v>53501.99999999999</v>
      </c>
      <c r="I34" s="33">
        <f>+Summary!M30</f>
        <v>1998.3007570675604</v>
      </c>
      <c r="J34" s="33">
        <f>+Summary!N30</f>
        <v>1998.2953905126974</v>
      </c>
      <c r="K34" s="33">
        <f>+I34-I$24</f>
        <v>44.731039770004145</v>
      </c>
      <c r="L34" s="33">
        <f>+J34-J$24</f>
        <v>44.725673215141114</v>
      </c>
      <c r="M34" s="33">
        <f>+Summary!Q30</f>
        <v>51167.333333333336</v>
      </c>
    </row>
    <row r="35" spans="2:13" ht="15">
      <c r="B35" s="32">
        <f t="shared" si="1"/>
        <v>2010</v>
      </c>
      <c r="C35" s="33">
        <f>+Summary!C31</f>
        <v>52531.249999999985</v>
      </c>
      <c r="D35" s="33">
        <f>+Summary!D31</f>
        <v>7740.949999999996</v>
      </c>
      <c r="E35" s="33">
        <f>+Summary!E31</f>
        <v>7487</v>
      </c>
      <c r="F35" s="34">
        <f>+Summary!F31</f>
        <v>67759.19999999998</v>
      </c>
      <c r="G35" s="35">
        <f t="shared" si="2"/>
        <v>2620.449999999997</v>
      </c>
      <c r="H35" s="33">
        <f>+Summary!H31</f>
        <v>60018.249999999985</v>
      </c>
      <c r="I35" s="33">
        <f>+Summary!M31</f>
        <v>2045.8887541926206</v>
      </c>
      <c r="J35" s="33">
        <f>+Summary!N31</f>
        <v>2045.8781169142308</v>
      </c>
      <c r="K35" s="33">
        <f>+I35-I34</f>
        <v>47.587997125060156</v>
      </c>
      <c r="L35" s="33">
        <f>+J35-J34</f>
        <v>47.582726401533364</v>
      </c>
      <c r="M35" s="33">
        <f>+Summary!Q31</f>
        <v>54506.75</v>
      </c>
    </row>
    <row r="36" spans="2:13" ht="15">
      <c r="B36" s="32">
        <f t="shared" si="1"/>
        <v>2011</v>
      </c>
      <c r="C36" s="33">
        <f>+Summary!C32</f>
        <v>53844.53124999998</v>
      </c>
      <c r="D36" s="33">
        <f>+Summary!D32</f>
        <v>5090.1874999999945</v>
      </c>
      <c r="E36" s="33">
        <f>+Summary!E32</f>
        <v>12050</v>
      </c>
      <c r="F36" s="34">
        <f>+Summary!F32</f>
        <v>70984.71874999997</v>
      </c>
      <c r="G36" s="35">
        <f t="shared" si="2"/>
        <v>4217.5</v>
      </c>
      <c r="H36" s="33">
        <f>+Summary!H32</f>
        <v>65894.53124999997</v>
      </c>
      <c r="I36" s="33">
        <f>+Summary!M32</f>
        <v>2094.158705678006</v>
      </c>
      <c r="J36" s="33">
        <f>+Summary!N32</f>
        <v>2094.1733798514606</v>
      </c>
      <c r="K36" s="33">
        <f>+I36-I35</f>
        <v>48.26995148538526</v>
      </c>
      <c r="L36" s="33">
        <f>+J36-J35</f>
        <v>48.295262937229836</v>
      </c>
      <c r="M36" s="33">
        <f>+Summary!Q32</f>
        <v>59804.927083333314</v>
      </c>
    </row>
    <row r="37" spans="2:13" ht="15">
      <c r="B37" s="32">
        <f t="shared" si="1"/>
        <v>2012</v>
      </c>
      <c r="C37" s="33">
        <f>+Summary!C33</f>
        <v>55190.64453124997</v>
      </c>
      <c r="D37" s="33">
        <f>+Summary!D33</f>
        <v>4858.154687499991</v>
      </c>
      <c r="E37" s="33">
        <f>+Summary!E33</f>
        <v>12904</v>
      </c>
      <c r="F37" s="34">
        <f>+Summary!F33</f>
        <v>72952.79921874996</v>
      </c>
      <c r="G37" s="35">
        <f t="shared" si="2"/>
        <v>4516.399999999994</v>
      </c>
      <c r="H37" s="33">
        <f>+Summary!H33</f>
        <v>68094.64453124997</v>
      </c>
      <c r="I37" s="33">
        <f>+Summary!M33</f>
        <v>2141.3901577473634</v>
      </c>
      <c r="J37" s="33">
        <f>+Summary!N33</f>
        <v>2141.4045279557963</v>
      </c>
      <c r="K37" s="33">
        <f>+I37-I36</f>
        <v>47.2314520693576</v>
      </c>
      <c r="L37" s="33">
        <f>+J37-J36</f>
        <v>47.231148104335716</v>
      </c>
      <c r="M37" s="33">
        <f>+Summary!Q33</f>
        <v>64669.141927083314</v>
      </c>
    </row>
    <row r="38" spans="2:13" ht="15">
      <c r="B38" s="32">
        <f t="shared" si="1"/>
        <v>2013</v>
      </c>
      <c r="C38" s="33">
        <f>+Summary!C34</f>
        <v>56570.41064453121</v>
      </c>
      <c r="D38" s="33">
        <f>+Summary!D34</f>
        <v>4612.098554687489</v>
      </c>
      <c r="E38" s="33">
        <f>+Summary!E34</f>
        <v>13792</v>
      </c>
      <c r="F38" s="34">
        <f>+Summary!F34</f>
        <v>74974.50919921871</v>
      </c>
      <c r="G38" s="35">
        <f t="shared" si="2"/>
        <v>4827.200000000012</v>
      </c>
      <c r="H38" s="33">
        <f>+Summary!H34</f>
        <v>70362.41064453122</v>
      </c>
      <c r="I38" s="33">
        <f>+Summary!M34</f>
        <v>2189.8381057495044</v>
      </c>
      <c r="J38" s="33">
        <f>+Summary!N34</f>
        <v>2189.82397081449</v>
      </c>
      <c r="K38" s="33">
        <f>+I38-I37</f>
        <v>48.44794800214095</v>
      </c>
      <c r="L38" s="33">
        <f>+J38-J37</f>
        <v>48.419442858693856</v>
      </c>
      <c r="M38" s="33">
        <f>+Summary!Q34</f>
        <v>68117.19547526039</v>
      </c>
    </row>
    <row r="39" spans="2:13" ht="15">
      <c r="B39" s="32">
        <f t="shared" si="1"/>
        <v>2014</v>
      </c>
      <c r="C39" s="33">
        <f>+Summary!C35</f>
        <v>57984.67091064449</v>
      </c>
      <c r="D39" s="33">
        <f>+Summary!D35</f>
        <v>4350.271018554677</v>
      </c>
      <c r="E39" s="33">
        <f>+Summary!E35</f>
        <v>14717</v>
      </c>
      <c r="F39" s="34">
        <f>+Summary!F35</f>
        <v>77051.94192919917</v>
      </c>
      <c r="G39" s="35">
        <f t="shared" si="2"/>
        <v>5150.949999999997</v>
      </c>
      <c r="H39" s="33">
        <f>+Summary!H35</f>
        <v>72701.67091064449</v>
      </c>
      <c r="I39" s="33">
        <f>+Summary!M35</f>
        <v>2239.4671767449427</v>
      </c>
      <c r="J39" s="33">
        <f>+Summary!N35</f>
        <v>2239.4626932281203</v>
      </c>
      <c r="K39" s="33">
        <f>+I39-I38</f>
        <v>49.62907099543827</v>
      </c>
      <c r="L39" s="33">
        <f>+J39-J38</f>
        <v>49.63872241363015</v>
      </c>
      <c r="M39" s="33">
        <f>+Summary!Q35</f>
        <v>70386.24202880856</v>
      </c>
    </row>
    <row r="40" spans="2:13" ht="15">
      <c r="B40" s="32">
        <f t="shared" si="1"/>
        <v>2015</v>
      </c>
      <c r="C40" s="33">
        <f>+Summary!C36</f>
        <v>59434.2876834106</v>
      </c>
      <c r="D40" s="33">
        <f>+Summary!D36</f>
        <v>4072.879044018542</v>
      </c>
      <c r="E40" s="33">
        <f>+Summary!E36</f>
        <v>15679</v>
      </c>
      <c r="F40" s="34">
        <f>+Summary!F36</f>
        <v>79186.16672742914</v>
      </c>
      <c r="G40" s="35">
        <f t="shared" si="2"/>
        <v>5487.649999999994</v>
      </c>
      <c r="H40" s="33">
        <f>+Summary!H36</f>
        <v>75113.2876834106</v>
      </c>
      <c r="I40" s="33">
        <f>+Summary!M36</f>
        <v>2290.3479495991196</v>
      </c>
      <c r="J40" s="33">
        <f>+Summary!N36</f>
        <v>2290.350627592843</v>
      </c>
      <c r="K40" s="33">
        <f>+I40-I39</f>
        <v>50.88077285417694</v>
      </c>
      <c r="L40" s="33">
        <f>+J40-J39</f>
        <v>50.887934364722696</v>
      </c>
      <c r="M40" s="33">
        <f>+Summary!Q36</f>
        <v>72725.78974619544</v>
      </c>
    </row>
    <row r="41" spans="3:4" ht="12.75">
      <c r="C41" s="83"/>
      <c r="D41" s="83"/>
    </row>
  </sheetData>
  <sheetProtection password="CA45" sheet="1" objects="1" scenarios="1" selectLockedCells="1"/>
  <mergeCells count="7">
    <mergeCell ref="B1:M1"/>
    <mergeCell ref="D2:D5"/>
    <mergeCell ref="E3:J5"/>
    <mergeCell ref="B33:M33"/>
    <mergeCell ref="B25:M25"/>
    <mergeCell ref="E2:J2"/>
    <mergeCell ref="G7:I7"/>
  </mergeCells>
  <hyperlinks>
    <hyperlink ref="G7" r:id="rId1" display="Link to Current Nonforeign COLA Rates"/>
  </hyperlinks>
  <printOptions horizontalCentered="1"/>
  <pageMargins left="0.45" right="0.25" top="0.74" bottom="0.87" header="0.5" footer="0.5"/>
  <pageSetup fitToHeight="1" fitToWidth="1" horizontalDpi="600" verticalDpi="600" orientation="landscape" scale="83" r:id="rId2"/>
</worksheet>
</file>

<file path=xl/worksheets/sheet2.xml><?xml version="1.0" encoding="utf-8"?>
<worksheet xmlns="http://schemas.openxmlformats.org/spreadsheetml/2006/main" xmlns:r="http://schemas.openxmlformats.org/officeDocument/2006/relationships">
  <sheetPr>
    <pageSetUpPr fitToPage="1"/>
  </sheetPr>
  <dimension ref="A1:V45"/>
  <sheetViews>
    <sheetView workbookViewId="0" topLeftCell="A1">
      <selection activeCell="A1" sqref="A1"/>
    </sheetView>
  </sheetViews>
  <sheetFormatPr defaultColWidth="9.140625" defaultRowHeight="12.75"/>
  <cols>
    <col min="1" max="1" width="8.57421875" style="46" customWidth="1"/>
    <col min="2" max="2" width="6.57421875" style="46" customWidth="1"/>
    <col min="3" max="3" width="11.140625" style="46" customWidth="1"/>
    <col min="4" max="4" width="10.00390625" style="46" customWidth="1"/>
    <col min="5" max="5" width="11.57421875" style="46" customWidth="1"/>
    <col min="6" max="6" width="13.421875" style="46" customWidth="1"/>
    <col min="7" max="7" width="11.421875" style="46" customWidth="1"/>
    <col min="8" max="8" width="10.8515625" style="46" customWidth="1"/>
    <col min="9" max="9" width="11.140625" style="46" customWidth="1"/>
    <col min="10" max="10" width="9.7109375" style="46" customWidth="1"/>
    <col min="11" max="11" width="8.421875" style="46" customWidth="1"/>
    <col min="12" max="12" width="9.28125" style="46" customWidth="1"/>
    <col min="13" max="13" width="9.8515625" style="46" customWidth="1"/>
    <col min="14" max="15" width="8.8515625" style="46" customWidth="1"/>
    <col min="16" max="16" width="7.8515625" style="46" customWidth="1"/>
    <col min="17" max="17" width="11.57421875" style="46" customWidth="1"/>
    <col min="18" max="18" width="8.421875" style="46" customWidth="1"/>
    <col min="19" max="19" width="10.28125" style="46" customWidth="1"/>
    <col min="20" max="20" width="9.8515625" style="46" customWidth="1"/>
    <col min="21" max="21" width="10.421875" style="46" customWidth="1"/>
    <col min="22" max="22" width="9.8515625" style="46" customWidth="1"/>
    <col min="23" max="23" width="11.421875" style="46" customWidth="1"/>
    <col min="24" max="24" width="11.28125" style="46" customWidth="1"/>
    <col min="25" max="25" width="10.421875" style="46" customWidth="1"/>
    <col min="26" max="26" width="10.8515625" style="46" customWidth="1"/>
    <col min="27" max="27" width="10.57421875" style="46" customWidth="1"/>
    <col min="28" max="28" width="8.57421875" style="46" customWidth="1"/>
    <col min="29" max="16384" width="9.140625" style="46" customWidth="1"/>
  </cols>
  <sheetData>
    <row r="1" spans="1:11" s="40" customFormat="1" ht="15.75">
      <c r="A1" s="36"/>
      <c r="B1" s="37"/>
      <c r="C1" s="36"/>
      <c r="D1" s="38" t="s">
        <v>39</v>
      </c>
      <c r="E1" s="38"/>
      <c r="F1" s="39"/>
      <c r="G1" s="39"/>
      <c r="H1" s="39"/>
      <c r="I1" s="39"/>
      <c r="J1" s="39"/>
      <c r="K1" s="39"/>
    </row>
    <row r="2" spans="1:10" s="40" customFormat="1" ht="15.75">
      <c r="A2" s="41"/>
      <c r="C2" s="38" t="s">
        <v>93</v>
      </c>
      <c r="D2" s="38"/>
      <c r="E2" s="39"/>
      <c r="F2" s="39"/>
      <c r="G2" s="39"/>
      <c r="H2" s="39"/>
      <c r="I2" s="39"/>
      <c r="J2" s="39"/>
    </row>
    <row r="3" spans="1:10" s="40" customFormat="1" ht="15.75">
      <c r="A3" s="42"/>
      <c r="C3" s="38"/>
      <c r="H3" s="39"/>
      <c r="I3" s="39"/>
      <c r="J3" s="39"/>
    </row>
    <row r="4" spans="1:7" ht="15.75">
      <c r="A4" s="42"/>
      <c r="B4" s="40"/>
      <c r="C4" s="43"/>
      <c r="D4" s="40"/>
      <c r="E4" s="44" t="s">
        <v>47</v>
      </c>
      <c r="F4" s="44"/>
      <c r="G4" s="76">
        <f>+Input!C3</f>
        <v>0.24</v>
      </c>
    </row>
    <row r="5" spans="4:8" ht="15.75">
      <c r="D5" s="38"/>
      <c r="E5" s="44" t="s">
        <v>48</v>
      </c>
      <c r="F5" s="44"/>
      <c r="G5" s="76">
        <f>+Input!C4</f>
        <v>0.2038</v>
      </c>
      <c r="H5" s="46" t="s">
        <v>37</v>
      </c>
    </row>
    <row r="6" spans="4:7" ht="15.75">
      <c r="D6" s="38"/>
      <c r="E6" s="44" t="s">
        <v>52</v>
      </c>
      <c r="F6" s="44"/>
      <c r="G6" s="45">
        <f>+Input!C5</f>
        <v>0</v>
      </c>
    </row>
    <row r="7" spans="4:7" ht="12.75">
      <c r="D7" s="46" t="s">
        <v>45</v>
      </c>
      <c r="G7" s="73">
        <v>0.025</v>
      </c>
    </row>
    <row r="8" spans="4:13" ht="12.75">
      <c r="D8" s="46" t="s">
        <v>46</v>
      </c>
      <c r="G8" s="73">
        <v>0.01</v>
      </c>
      <c r="J8" s="47"/>
      <c r="M8" s="44"/>
    </row>
    <row r="9" spans="2:14" ht="15.75">
      <c r="B9" s="43"/>
      <c r="C9" s="40"/>
      <c r="D9" s="40"/>
      <c r="E9" s="40" t="s">
        <v>83</v>
      </c>
      <c r="F9" s="40"/>
      <c r="G9" s="74">
        <v>0.65</v>
      </c>
      <c r="H9" s="40"/>
      <c r="I9" s="40"/>
      <c r="J9" s="45"/>
      <c r="K9" s="48"/>
      <c r="L9" s="47"/>
      <c r="N9" s="47"/>
    </row>
    <row r="10" spans="5:15" ht="12.75">
      <c r="E10" s="46" t="s">
        <v>44</v>
      </c>
      <c r="G10" s="75">
        <v>0.1318</v>
      </c>
      <c r="H10" s="46" t="s">
        <v>80</v>
      </c>
      <c r="J10" s="45"/>
      <c r="L10" s="48"/>
      <c r="M10" s="47"/>
      <c r="N10" s="47"/>
      <c r="O10" s="44"/>
    </row>
    <row r="11" spans="5:10" ht="12.75">
      <c r="E11" s="46" t="s">
        <v>35</v>
      </c>
      <c r="J11" s="45"/>
    </row>
    <row r="12" spans="5:22" ht="12.75">
      <c r="E12" s="50" t="s">
        <v>36</v>
      </c>
      <c r="G12" s="77">
        <v>3000</v>
      </c>
      <c r="H12" s="46" t="s">
        <v>38</v>
      </c>
      <c r="J12" s="45"/>
      <c r="R12" s="44"/>
      <c r="S12" s="44"/>
      <c r="U12" s="49"/>
      <c r="V12" s="45"/>
    </row>
    <row r="13" spans="4:21" ht="12.75">
      <c r="D13" s="51"/>
      <c r="E13" s="50" t="s">
        <v>88</v>
      </c>
      <c r="K13" s="52" t="s">
        <v>25</v>
      </c>
      <c r="L13" s="53"/>
      <c r="M13" s="52" t="s">
        <v>22</v>
      </c>
      <c r="N13" s="53"/>
      <c r="Q13" s="52"/>
      <c r="R13" s="52"/>
      <c r="T13" s="49"/>
      <c r="U13" s="45"/>
    </row>
    <row r="14" spans="5:19" ht="12.75">
      <c r="E14" s="46" t="s">
        <v>49</v>
      </c>
      <c r="F14" s="51"/>
      <c r="G14" s="77">
        <v>102000</v>
      </c>
      <c r="J14" s="54"/>
      <c r="K14" s="52" t="s">
        <v>21</v>
      </c>
      <c r="L14" s="53"/>
      <c r="M14" s="52" t="s">
        <v>40</v>
      </c>
      <c r="N14" s="53"/>
      <c r="O14" s="52" t="s">
        <v>61</v>
      </c>
      <c r="P14" s="52"/>
      <c r="R14" s="57"/>
      <c r="S14" s="57"/>
    </row>
    <row r="15" spans="5:20" ht="12.75">
      <c r="E15" s="46" t="s">
        <v>82</v>
      </c>
      <c r="G15" s="46">
        <v>3</v>
      </c>
      <c r="I15" s="58"/>
      <c r="J15" s="55"/>
      <c r="K15" s="78" t="s">
        <v>84</v>
      </c>
      <c r="L15" s="79"/>
      <c r="M15" s="52" t="s">
        <v>51</v>
      </c>
      <c r="N15" s="53"/>
      <c r="O15" s="52" t="s">
        <v>22</v>
      </c>
      <c r="P15" s="52"/>
      <c r="Q15" s="55" t="s">
        <v>94</v>
      </c>
      <c r="R15" s="56"/>
      <c r="S15" s="57"/>
      <c r="T15" s="56"/>
    </row>
    <row r="16" spans="2:20" ht="12.75">
      <c r="B16" s="44"/>
      <c r="C16" s="55" t="s">
        <v>34</v>
      </c>
      <c r="D16" s="50"/>
      <c r="G16" s="55" t="s">
        <v>27</v>
      </c>
      <c r="H16" s="55" t="s">
        <v>32</v>
      </c>
      <c r="I16" s="55" t="s">
        <v>18</v>
      </c>
      <c r="J16" s="55" t="s">
        <v>2</v>
      </c>
      <c r="K16" s="78" t="s">
        <v>85</v>
      </c>
      <c r="L16" s="79"/>
      <c r="M16" s="52" t="s">
        <v>26</v>
      </c>
      <c r="N16" s="53"/>
      <c r="O16" s="52" t="s">
        <v>43</v>
      </c>
      <c r="P16" s="52"/>
      <c r="Q16" s="55" t="s">
        <v>63</v>
      </c>
      <c r="R16" s="56"/>
      <c r="S16" s="57"/>
      <c r="T16" s="56"/>
    </row>
    <row r="17" spans="2:18" ht="12.75">
      <c r="B17" s="48" t="s">
        <v>24</v>
      </c>
      <c r="C17" s="55" t="s">
        <v>23</v>
      </c>
      <c r="D17" s="55" t="s">
        <v>1</v>
      </c>
      <c r="E17" s="55" t="s">
        <v>29</v>
      </c>
      <c r="F17" s="55" t="s">
        <v>30</v>
      </c>
      <c r="G17" s="55" t="s">
        <v>28</v>
      </c>
      <c r="H17" s="55" t="s">
        <v>31</v>
      </c>
      <c r="I17" s="55" t="s">
        <v>19</v>
      </c>
      <c r="J17" s="59">
        <v>0.0145</v>
      </c>
      <c r="K17" s="55" t="s">
        <v>5</v>
      </c>
      <c r="L17" s="55" t="s">
        <v>6</v>
      </c>
      <c r="M17" s="55" t="s">
        <v>5</v>
      </c>
      <c r="N17" s="55" t="s">
        <v>20</v>
      </c>
      <c r="O17" s="55" t="s">
        <v>5</v>
      </c>
      <c r="P17" s="55" t="s">
        <v>6</v>
      </c>
      <c r="Q17" s="55" t="s">
        <v>53</v>
      </c>
      <c r="R17" s="55"/>
    </row>
    <row r="18" spans="1:17" ht="12.75">
      <c r="A18" s="46" t="s">
        <v>33</v>
      </c>
      <c r="B18" s="46">
        <v>2008</v>
      </c>
      <c r="C18" s="46">
        <f>+Input!C2</f>
        <v>50000</v>
      </c>
      <c r="D18" s="46">
        <f>+C18*$G$4</f>
        <v>12000</v>
      </c>
      <c r="F18" s="80">
        <f>+C18+D18+E18</f>
        <v>62000</v>
      </c>
      <c r="G18" s="80">
        <f>ROUND(F18/2087*80,0)</f>
        <v>2377</v>
      </c>
      <c r="H18" s="80">
        <f>+C18+E18</f>
        <v>50000</v>
      </c>
      <c r="I18" s="80">
        <f>VLOOKUP($H18,taxtable,4)+($H18-VLOOKUP($H18,taxtable,2)-VLOOKUP($H18,taxtable,6))*VLOOKUP($H18,taxtable,5)</f>
        <v>6811.25</v>
      </c>
      <c r="J18" s="80">
        <f>+H18*$J$17</f>
        <v>725</v>
      </c>
      <c r="K18" s="80">
        <f>ROUND(H18*0.07,0)</f>
        <v>3500</v>
      </c>
      <c r="L18" s="80">
        <f>0.062*MIN(97500,H18)+0.008*H18</f>
        <v>3500</v>
      </c>
      <c r="M18" s="80">
        <f>(F18-(I18+J18+K18))/2087*80</f>
        <v>1953.5697172975563</v>
      </c>
      <c r="N18" s="80">
        <f>+(+F18-(I18+J18+L18))/2087*80</f>
        <v>1953.5697172975563</v>
      </c>
      <c r="O18" s="80" t="s">
        <v>50</v>
      </c>
      <c r="P18" s="80" t="s">
        <v>50</v>
      </c>
      <c r="Q18" s="80">
        <f>+H18</f>
        <v>50000</v>
      </c>
    </row>
    <row r="19" spans="6:17" ht="12.75">
      <c r="F19" s="80"/>
      <c r="G19" s="80"/>
      <c r="H19" s="80"/>
      <c r="I19" s="80"/>
      <c r="J19" s="80"/>
      <c r="K19" s="80"/>
      <c r="L19" s="80"/>
      <c r="M19" s="80"/>
      <c r="N19" s="80"/>
      <c r="O19" s="80"/>
      <c r="P19" s="80"/>
      <c r="Q19" s="80"/>
    </row>
    <row r="20" spans="1:17" s="61" customFormat="1" ht="12.75">
      <c r="A20" s="46"/>
      <c r="B20" s="60" t="s">
        <v>42</v>
      </c>
      <c r="C20" s="60"/>
      <c r="F20" s="80"/>
      <c r="G20" s="80"/>
      <c r="H20" s="80"/>
      <c r="I20" s="80"/>
      <c r="J20" s="80"/>
      <c r="K20" s="80"/>
      <c r="L20" s="80"/>
      <c r="M20" s="80"/>
      <c r="N20" s="80"/>
      <c r="O20" s="80"/>
      <c r="P20" s="80"/>
      <c r="Q20" s="80"/>
    </row>
    <row r="21" spans="1:18" s="61" customFormat="1" ht="12.75">
      <c r="A21" s="61">
        <v>1</v>
      </c>
      <c r="B21" s="61">
        <f>+B18+1</f>
        <v>2009</v>
      </c>
      <c r="C21" s="80">
        <f>+C18*(1+G$7)</f>
        <v>51249.99999999999</v>
      </c>
      <c r="D21" s="80">
        <f>+C21*($G$4)</f>
        <v>12299.999999999998</v>
      </c>
      <c r="F21" s="80">
        <f aca="true" t="shared" si="0" ref="F21:F27">+C21+D21+E21</f>
        <v>63549.99999999999</v>
      </c>
      <c r="G21" s="80">
        <f aca="true" t="shared" si="1" ref="G21:G36">ROUND(F21/2087*80,0)</f>
        <v>2436</v>
      </c>
      <c r="H21" s="80">
        <f aca="true" t="shared" si="2" ref="H21:H27">+C21+E21</f>
        <v>51249.99999999999</v>
      </c>
      <c r="I21" s="80">
        <f aca="true" t="shared" si="3" ref="I21:I27">VLOOKUP($H21,taxtable,4)+($H21-VLOOKUP($H21,taxtable,2)-VLOOKUP($H21,taxtable,6))*VLOOKUP($H21,taxtable,5)</f>
        <v>7123.749999999998</v>
      </c>
      <c r="J21" s="80">
        <f aca="true" t="shared" si="4" ref="J21:J27">+H21*$J$17</f>
        <v>743.1249999999999</v>
      </c>
      <c r="K21" s="80">
        <f aca="true" t="shared" si="5" ref="K21:K27">ROUND(H21*0.07,0)</f>
        <v>3588</v>
      </c>
      <c r="L21" s="80">
        <f aca="true" t="shared" si="6" ref="L21:L27">0.062*MIN(97500+A21*$G$12,H21)+0.008*H21</f>
        <v>3587.4999999999995</v>
      </c>
      <c r="M21" s="80">
        <f aca="true" t="shared" si="7" ref="M21:M36">(F21-(I21+J21+K21))/2087*80</f>
        <v>1996.9381887877332</v>
      </c>
      <c r="N21" s="80">
        <f aca="true" t="shared" si="8" ref="N21:N36">+(+F21-(I21+J21+L21))/2087*80</f>
        <v>1996.9573550551027</v>
      </c>
      <c r="O21" s="80">
        <f>+M21-M18</f>
        <v>43.368471490176944</v>
      </c>
      <c r="P21" s="80">
        <f>+N21-N18</f>
        <v>43.38763775754637</v>
      </c>
      <c r="Q21" s="80">
        <f>AVERAGE(H$18,H$18,H21)</f>
        <v>50416.666666666664</v>
      </c>
      <c r="R21" s="62"/>
    </row>
    <row r="22" spans="1:18" s="61" customFormat="1" ht="12.75">
      <c r="A22" s="61">
        <v>2</v>
      </c>
      <c r="B22" s="61">
        <f aca="true" t="shared" si="9" ref="B22:B27">+B21+1</f>
        <v>2010</v>
      </c>
      <c r="C22" s="80">
        <f aca="true" t="shared" si="10" ref="C22:C27">+C21*(1+G$7)</f>
        <v>52531.249999999985</v>
      </c>
      <c r="D22" s="80">
        <f aca="true" t="shared" si="11" ref="D22:D27">+C22*($G$4)</f>
        <v>12607.499999999996</v>
      </c>
      <c r="F22" s="80">
        <f t="shared" si="0"/>
        <v>65138.749999999985</v>
      </c>
      <c r="G22" s="80">
        <f t="shared" si="1"/>
        <v>2497</v>
      </c>
      <c r="H22" s="80">
        <f t="shared" si="2"/>
        <v>52531.249999999985</v>
      </c>
      <c r="I22" s="80">
        <f t="shared" si="3"/>
        <v>7444.062499999996</v>
      </c>
      <c r="J22" s="80">
        <f t="shared" si="4"/>
        <v>761.7031249999998</v>
      </c>
      <c r="K22" s="80">
        <f t="shared" si="5"/>
        <v>3677</v>
      </c>
      <c r="L22" s="80">
        <f t="shared" si="6"/>
        <v>3677.187499999999</v>
      </c>
      <c r="M22" s="80">
        <f t="shared" si="7"/>
        <v>2041.4368711068514</v>
      </c>
      <c r="N22" s="80">
        <f t="shared" si="8"/>
        <v>2041.429683756588</v>
      </c>
      <c r="O22" s="80">
        <f aca="true" t="shared" si="12" ref="O22:P27">+M22-M21</f>
        <v>44.49868231911819</v>
      </c>
      <c r="P22" s="80">
        <f t="shared" si="12"/>
        <v>44.47232870148537</v>
      </c>
      <c r="Q22" s="80">
        <f>AVERAGE(H$18,H21,H22)</f>
        <v>51260.416666666664</v>
      </c>
      <c r="R22" s="62"/>
    </row>
    <row r="23" spans="1:18" s="61" customFormat="1" ht="12.75">
      <c r="A23" s="61">
        <v>3</v>
      </c>
      <c r="B23" s="61">
        <f t="shared" si="9"/>
        <v>2011</v>
      </c>
      <c r="C23" s="80">
        <f t="shared" si="10"/>
        <v>53844.53124999998</v>
      </c>
      <c r="D23" s="80">
        <f t="shared" si="11"/>
        <v>12922.687499999995</v>
      </c>
      <c r="F23" s="80">
        <f t="shared" si="0"/>
        <v>66767.21874999997</v>
      </c>
      <c r="G23" s="80">
        <f t="shared" si="1"/>
        <v>2559</v>
      </c>
      <c r="H23" s="80">
        <f t="shared" si="2"/>
        <v>53844.53124999998</v>
      </c>
      <c r="I23" s="80">
        <f t="shared" si="3"/>
        <v>7772.3828124999945</v>
      </c>
      <c r="J23" s="80">
        <f t="shared" si="4"/>
        <v>780.7457031249997</v>
      </c>
      <c r="K23" s="80">
        <f t="shared" si="5"/>
        <v>3769</v>
      </c>
      <c r="L23" s="80">
        <f t="shared" si="6"/>
        <v>3769.1171874999986</v>
      </c>
      <c r="M23" s="80">
        <f t="shared" si="7"/>
        <v>2087.0183127695245</v>
      </c>
      <c r="N23" s="80">
        <f t="shared" si="8"/>
        <v>2087.01382067561</v>
      </c>
      <c r="O23" s="80">
        <f t="shared" si="12"/>
        <v>45.581441662673114</v>
      </c>
      <c r="P23" s="80">
        <f t="shared" si="12"/>
        <v>45.58413691902206</v>
      </c>
      <c r="Q23" s="80">
        <f>AVERAGE(H21,H22,H23)</f>
        <v>52541.927083333314</v>
      </c>
      <c r="R23" s="62"/>
    </row>
    <row r="24" spans="1:18" s="61" customFormat="1" ht="12.75">
      <c r="A24" s="61">
        <v>4</v>
      </c>
      <c r="B24" s="61">
        <f t="shared" si="9"/>
        <v>2012</v>
      </c>
      <c r="C24" s="80">
        <f t="shared" si="10"/>
        <v>55190.64453124997</v>
      </c>
      <c r="D24" s="80">
        <f t="shared" si="11"/>
        <v>13245.754687499992</v>
      </c>
      <c r="E24" s="63"/>
      <c r="F24" s="80">
        <f t="shared" si="0"/>
        <v>68436.39921874997</v>
      </c>
      <c r="G24" s="80">
        <f t="shared" si="1"/>
        <v>2623</v>
      </c>
      <c r="H24" s="80">
        <f t="shared" si="2"/>
        <v>55190.64453124997</v>
      </c>
      <c r="I24" s="80">
        <f t="shared" si="3"/>
        <v>8108.911132812493</v>
      </c>
      <c r="J24" s="80">
        <f t="shared" si="4"/>
        <v>800.2643457031246</v>
      </c>
      <c r="K24" s="80">
        <f t="shared" si="5"/>
        <v>3863</v>
      </c>
      <c r="L24" s="80">
        <f t="shared" si="6"/>
        <v>3863.345117187498</v>
      </c>
      <c r="M24" s="80">
        <f t="shared" si="7"/>
        <v>2133.7507902341868</v>
      </c>
      <c r="N24" s="80">
        <f t="shared" si="8"/>
        <v>2133.737561017608</v>
      </c>
      <c r="O24" s="80">
        <f t="shared" si="12"/>
        <v>46.732477464662225</v>
      </c>
      <c r="P24" s="80">
        <f t="shared" si="12"/>
        <v>46.72374034199811</v>
      </c>
      <c r="Q24" s="80">
        <f>AVERAGE(H22,H23,H24)</f>
        <v>53855.47526041665</v>
      </c>
      <c r="R24" s="62"/>
    </row>
    <row r="25" spans="1:18" s="61" customFormat="1" ht="12.75">
      <c r="A25" s="61">
        <v>5</v>
      </c>
      <c r="B25" s="61">
        <f t="shared" si="9"/>
        <v>2013</v>
      </c>
      <c r="C25" s="80">
        <f t="shared" si="10"/>
        <v>56570.41064453121</v>
      </c>
      <c r="D25" s="80">
        <f t="shared" si="11"/>
        <v>13576.89855468749</v>
      </c>
      <c r="E25" s="63"/>
      <c r="F25" s="80">
        <f t="shared" si="0"/>
        <v>70147.3091992187</v>
      </c>
      <c r="G25" s="80">
        <f t="shared" si="1"/>
        <v>2689</v>
      </c>
      <c r="H25" s="80">
        <f t="shared" si="2"/>
        <v>56570.41064453121</v>
      </c>
      <c r="I25" s="80">
        <f t="shared" si="3"/>
        <v>8453.852661132803</v>
      </c>
      <c r="J25" s="80">
        <f t="shared" si="4"/>
        <v>820.2709543457026</v>
      </c>
      <c r="K25" s="80">
        <f t="shared" si="5"/>
        <v>3960</v>
      </c>
      <c r="L25" s="80">
        <f>0.062*MIN(97500+A25*$G$12,H25)+0.008*H25</f>
        <v>3959.928745117185</v>
      </c>
      <c r="M25" s="80">
        <f t="shared" si="7"/>
        <v>2181.626663487885</v>
      </c>
      <c r="N25" s="80">
        <f t="shared" si="8"/>
        <v>2181.6293948681555</v>
      </c>
      <c r="O25" s="80">
        <f t="shared" si="12"/>
        <v>47.875873253698046</v>
      </c>
      <c r="P25" s="80">
        <f t="shared" si="12"/>
        <v>47.8918338505473</v>
      </c>
      <c r="Q25" s="80">
        <f>AVERAGE(H23,H24,H25)</f>
        <v>55201.86214192706</v>
      </c>
      <c r="R25" s="62"/>
    </row>
    <row r="26" spans="1:18" s="61" customFormat="1" ht="12.75">
      <c r="A26" s="61">
        <v>6</v>
      </c>
      <c r="B26" s="61">
        <f t="shared" si="9"/>
        <v>2014</v>
      </c>
      <c r="C26" s="80">
        <f t="shared" si="10"/>
        <v>57984.67091064449</v>
      </c>
      <c r="D26" s="80">
        <f t="shared" si="11"/>
        <v>13916.321018554678</v>
      </c>
      <c r="E26" s="63"/>
      <c r="F26" s="80">
        <f t="shared" si="0"/>
        <v>71900.99192919917</v>
      </c>
      <c r="G26" s="80">
        <f t="shared" si="1"/>
        <v>2756</v>
      </c>
      <c r="H26" s="80">
        <f t="shared" si="2"/>
        <v>57984.67091064449</v>
      </c>
      <c r="I26" s="80">
        <f t="shared" si="3"/>
        <v>8807.417727661123</v>
      </c>
      <c r="J26" s="80">
        <f t="shared" si="4"/>
        <v>840.7777282043452</v>
      </c>
      <c r="K26" s="80">
        <f t="shared" si="5"/>
        <v>4059</v>
      </c>
      <c r="L26" s="80">
        <f t="shared" si="6"/>
        <v>4058.9269637451143</v>
      </c>
      <c r="M26" s="80">
        <f t="shared" si="7"/>
        <v>2230.71572490019</v>
      </c>
      <c r="N26" s="80">
        <f t="shared" si="8"/>
        <v>2230.7185245649675</v>
      </c>
      <c r="O26" s="80">
        <f t="shared" si="12"/>
        <v>49.089061412305</v>
      </c>
      <c r="P26" s="80">
        <f t="shared" si="12"/>
        <v>49.08912969681205</v>
      </c>
      <c r="Q26" s="80">
        <f>AVERAGE(H24,H25,H26)</f>
        <v>56581.90869547523</v>
      </c>
      <c r="R26" s="62"/>
    </row>
    <row r="27" spans="1:18" s="61" customFormat="1" ht="12.75">
      <c r="A27" s="61">
        <v>7</v>
      </c>
      <c r="B27" s="61">
        <f t="shared" si="9"/>
        <v>2015</v>
      </c>
      <c r="C27" s="80">
        <f t="shared" si="10"/>
        <v>59434.2876834106</v>
      </c>
      <c r="D27" s="80">
        <f t="shared" si="11"/>
        <v>14264.229044018542</v>
      </c>
      <c r="E27" s="63"/>
      <c r="F27" s="80">
        <f t="shared" si="0"/>
        <v>73698.51672742915</v>
      </c>
      <c r="G27" s="80">
        <f t="shared" si="1"/>
        <v>2825</v>
      </c>
      <c r="H27" s="80">
        <f t="shared" si="2"/>
        <v>59434.2876834106</v>
      </c>
      <c r="I27" s="80">
        <f t="shared" si="3"/>
        <v>9169.82192085265</v>
      </c>
      <c r="J27" s="80">
        <f t="shared" si="4"/>
        <v>861.7971714094538</v>
      </c>
      <c r="K27" s="80">
        <f t="shared" si="5"/>
        <v>4160</v>
      </c>
      <c r="L27" s="80">
        <f t="shared" si="6"/>
        <v>4160.400137838742</v>
      </c>
      <c r="M27" s="80">
        <f t="shared" si="7"/>
        <v>2281.0502208018033</v>
      </c>
      <c r="N27" s="80">
        <f t="shared" si="8"/>
        <v>2281.0348825041992</v>
      </c>
      <c r="O27" s="80">
        <f t="shared" si="12"/>
        <v>50.334495901613536</v>
      </c>
      <c r="P27" s="80">
        <f t="shared" si="12"/>
        <v>50.31635793923169</v>
      </c>
      <c r="Q27" s="80">
        <f>AVERAGE(H25,H26,H27)</f>
        <v>57996.456412862106</v>
      </c>
      <c r="R27" s="62"/>
    </row>
    <row r="28" spans="1:17" ht="12.75">
      <c r="A28" s="61"/>
      <c r="B28" s="61"/>
      <c r="C28" s="68"/>
      <c r="D28" s="69"/>
      <c r="E28" s="61"/>
      <c r="F28" s="80"/>
      <c r="G28" s="80"/>
      <c r="H28" s="80"/>
      <c r="I28" s="80"/>
      <c r="J28" s="80"/>
      <c r="K28" s="80"/>
      <c r="L28" s="80"/>
      <c r="M28" s="80"/>
      <c r="N28" s="80"/>
      <c r="O28" s="80"/>
      <c r="P28" s="80"/>
      <c r="Q28" s="80"/>
    </row>
    <row r="29" spans="2:19" ht="12.75">
      <c r="B29" s="60" t="s">
        <v>41</v>
      </c>
      <c r="C29" s="68"/>
      <c r="D29" s="68"/>
      <c r="E29" s="61"/>
      <c r="F29" s="80"/>
      <c r="G29" s="80"/>
      <c r="H29" s="80"/>
      <c r="I29" s="80"/>
      <c r="J29" s="80"/>
      <c r="K29" s="80"/>
      <c r="L29" s="80"/>
      <c r="M29" s="80"/>
      <c r="N29" s="80"/>
      <c r="O29" s="80"/>
      <c r="P29" s="80"/>
      <c r="Q29" s="80"/>
      <c r="R29" s="53"/>
      <c r="S29" s="64"/>
    </row>
    <row r="30" spans="1:21" ht="12.75">
      <c r="A30" s="46">
        <v>1</v>
      </c>
      <c r="B30" s="46">
        <f>+B$18+1</f>
        <v>2009</v>
      </c>
      <c r="C30" s="80">
        <f>+C18*(1+G$7)</f>
        <v>51249.99999999999</v>
      </c>
      <c r="D30" s="80">
        <f aca="true" t="shared" si="13" ref="D30:D36">MAX(C30*$G$4-E30*$G$9,0)</f>
        <v>10836.199999999999</v>
      </c>
      <c r="E30" s="80">
        <f>ROUND(C30*($G$10+A29*$G$8)*(A30/$G$15),0)</f>
        <v>2252</v>
      </c>
      <c r="F30" s="80">
        <f aca="true" t="shared" si="14" ref="F30:F36">+C30+D30+E30</f>
        <v>64338.19999999999</v>
      </c>
      <c r="G30" s="80">
        <f t="shared" si="1"/>
        <v>2466</v>
      </c>
      <c r="H30" s="80">
        <f aca="true" t="shared" si="15" ref="H30:H36">+C30+E30</f>
        <v>53501.99999999999</v>
      </c>
      <c r="I30" s="80">
        <f aca="true" t="shared" si="16" ref="I30:I36">VLOOKUP($H30,taxtable,4)+($H30-VLOOKUP($H30,taxtable,2)-VLOOKUP($H30,taxtable,6))*VLOOKUP($H30,taxtable,5)</f>
        <v>7686.749999999998</v>
      </c>
      <c r="J30" s="80">
        <f aca="true" t="shared" si="17" ref="J30:J36">+H30*$J$17</f>
        <v>775.7789999999999</v>
      </c>
      <c r="K30" s="80">
        <f>ROUND(H30*0.07,0)</f>
        <v>3745</v>
      </c>
      <c r="L30" s="80">
        <f aca="true" t="shared" si="18" ref="L30:L36">0.062*MIN(97500+A30*$G$12,H30)+0.008*H30</f>
        <v>3745.1399999999994</v>
      </c>
      <c r="M30" s="80">
        <f t="shared" si="7"/>
        <v>1998.3007570675604</v>
      </c>
      <c r="N30" s="80">
        <f t="shared" si="8"/>
        <v>1998.2953905126974</v>
      </c>
      <c r="O30" s="80">
        <f>+M30-M18</f>
        <v>44.731039770004145</v>
      </c>
      <c r="P30" s="80">
        <f>+N30-N18</f>
        <v>44.725673215141114</v>
      </c>
      <c r="Q30" s="80">
        <f>AVERAGE(H$18,H$18,H30)</f>
        <v>51167.333333333336</v>
      </c>
      <c r="R30" s="64"/>
      <c r="T30" s="64"/>
      <c r="U30" s="64"/>
    </row>
    <row r="31" spans="1:21" ht="12.75">
      <c r="A31" s="46">
        <v>2</v>
      </c>
      <c r="B31" s="46">
        <f aca="true" t="shared" si="19" ref="B31:B36">+B30+1</f>
        <v>2010</v>
      </c>
      <c r="C31" s="80">
        <f aca="true" t="shared" si="20" ref="C31:C36">+C30*(1+G$7)</f>
        <v>52531.249999999985</v>
      </c>
      <c r="D31" s="80">
        <f>MAX(C31*$G$4-E31*$G$9,0)</f>
        <v>7740.949999999996</v>
      </c>
      <c r="E31" s="80">
        <f>ROUND(C31*($G$5+A30*$G$8)*(A31/$G$15),0)</f>
        <v>7487</v>
      </c>
      <c r="F31" s="80">
        <f t="shared" si="14"/>
        <v>67759.19999999998</v>
      </c>
      <c r="G31" s="80">
        <f t="shared" si="1"/>
        <v>2597</v>
      </c>
      <c r="H31" s="80">
        <f t="shared" si="15"/>
        <v>60018.249999999985</v>
      </c>
      <c r="I31" s="80">
        <f t="shared" si="16"/>
        <v>9315.812499999996</v>
      </c>
      <c r="J31" s="80">
        <f t="shared" si="17"/>
        <v>870.2646249999998</v>
      </c>
      <c r="K31" s="80">
        <f aca="true" t="shared" si="21" ref="K31:K36">ROUND(H31*0.07,0)</f>
        <v>4201</v>
      </c>
      <c r="L31" s="80">
        <f t="shared" si="18"/>
        <v>4201.277499999999</v>
      </c>
      <c r="M31" s="80">
        <f t="shared" si="7"/>
        <v>2045.8887541926206</v>
      </c>
      <c r="N31" s="80">
        <f t="shared" si="8"/>
        <v>2045.8781169142308</v>
      </c>
      <c r="O31" s="80">
        <f>+M31-M30</f>
        <v>47.587997125060156</v>
      </c>
      <c r="P31" s="80">
        <f>+N31-N30</f>
        <v>47.582726401533364</v>
      </c>
      <c r="Q31" s="80">
        <f>AVERAGE(H$18,H30,H31)</f>
        <v>54506.75</v>
      </c>
      <c r="R31" s="64"/>
      <c r="T31" s="64"/>
      <c r="U31" s="64"/>
    </row>
    <row r="32" spans="1:21" ht="12.75">
      <c r="A32" s="46">
        <v>3</v>
      </c>
      <c r="B32" s="46">
        <f t="shared" si="19"/>
        <v>2011</v>
      </c>
      <c r="C32" s="80">
        <f t="shared" si="20"/>
        <v>53844.53124999998</v>
      </c>
      <c r="D32" s="80">
        <f t="shared" si="13"/>
        <v>5090.1874999999945</v>
      </c>
      <c r="E32" s="80">
        <f>ROUND(C32*($G$5+A31*$G$8)*(A32/$G$15),0)</f>
        <v>12050</v>
      </c>
      <c r="F32" s="80">
        <f t="shared" si="14"/>
        <v>70984.71874999997</v>
      </c>
      <c r="G32" s="80">
        <f t="shared" si="1"/>
        <v>2721</v>
      </c>
      <c r="H32" s="80">
        <f t="shared" si="15"/>
        <v>65894.53124999997</v>
      </c>
      <c r="I32" s="80">
        <f t="shared" si="16"/>
        <v>10784.882812499993</v>
      </c>
      <c r="J32" s="80">
        <f t="shared" si="17"/>
        <v>955.4707031249997</v>
      </c>
      <c r="K32" s="80">
        <f t="shared" si="21"/>
        <v>4613</v>
      </c>
      <c r="L32" s="80">
        <f t="shared" si="18"/>
        <v>4612.617187499998</v>
      </c>
      <c r="M32" s="80">
        <f t="shared" si="7"/>
        <v>2094.158705678006</v>
      </c>
      <c r="N32" s="80">
        <f t="shared" si="8"/>
        <v>2094.1733798514606</v>
      </c>
      <c r="O32" s="80">
        <f aca="true" t="shared" si="22" ref="O32:P36">+M32-M31</f>
        <v>48.26995148538526</v>
      </c>
      <c r="P32" s="80">
        <f t="shared" si="22"/>
        <v>48.295262937229836</v>
      </c>
      <c r="Q32" s="80">
        <f>AVERAGE(H30,H31,H32)</f>
        <v>59804.927083333314</v>
      </c>
      <c r="R32" s="64"/>
      <c r="T32" s="64"/>
      <c r="U32" s="64"/>
    </row>
    <row r="33" spans="1:21" ht="12.75">
      <c r="A33" s="46">
        <v>4</v>
      </c>
      <c r="B33" s="46">
        <f t="shared" si="19"/>
        <v>2012</v>
      </c>
      <c r="C33" s="80">
        <f t="shared" si="20"/>
        <v>55190.64453124997</v>
      </c>
      <c r="D33" s="80">
        <f t="shared" si="13"/>
        <v>4858.154687499991</v>
      </c>
      <c r="E33" s="80">
        <f>IF(A33&gt;$G$15,ROUND(C33*($G$5+A32*$G$8),0),ROUND(C33*($G$5+A32*$G$8)*(A33/$G6),0))</f>
        <v>12904</v>
      </c>
      <c r="F33" s="80">
        <f t="shared" si="14"/>
        <v>72952.79921874996</v>
      </c>
      <c r="G33" s="80">
        <f t="shared" si="1"/>
        <v>2796</v>
      </c>
      <c r="H33" s="80">
        <f t="shared" si="15"/>
        <v>68094.64453124997</v>
      </c>
      <c r="I33" s="80">
        <f t="shared" si="16"/>
        <v>11334.911132812493</v>
      </c>
      <c r="J33" s="80">
        <f t="shared" si="17"/>
        <v>987.3723457031247</v>
      </c>
      <c r="K33" s="80">
        <f t="shared" si="21"/>
        <v>4767</v>
      </c>
      <c r="L33" s="80">
        <f t="shared" si="18"/>
        <v>4766.625117187498</v>
      </c>
      <c r="M33" s="80">
        <f t="shared" si="7"/>
        <v>2141.3901577473634</v>
      </c>
      <c r="N33" s="80">
        <f t="shared" si="8"/>
        <v>2141.4045279557963</v>
      </c>
      <c r="O33" s="80">
        <f t="shared" si="22"/>
        <v>47.2314520693576</v>
      </c>
      <c r="P33" s="80">
        <f t="shared" si="22"/>
        <v>47.231148104335716</v>
      </c>
      <c r="Q33" s="80">
        <f>AVERAGE(H31,H32,H33)</f>
        <v>64669.141927083314</v>
      </c>
      <c r="R33" s="64"/>
      <c r="T33" s="64"/>
      <c r="U33" s="64"/>
    </row>
    <row r="34" spans="1:21" ht="12.75">
      <c r="A34" s="46">
        <v>5</v>
      </c>
      <c r="B34" s="46">
        <f t="shared" si="19"/>
        <v>2013</v>
      </c>
      <c r="C34" s="80">
        <f t="shared" si="20"/>
        <v>56570.41064453121</v>
      </c>
      <c r="D34" s="80">
        <f t="shared" si="13"/>
        <v>4612.098554687489</v>
      </c>
      <c r="E34" s="80">
        <f>IF(A34&gt;$G$15,ROUND(C34*($G$5+A33*$G$8),0),ROUND(C34*($G$5+A33*$G$8)*(A34/$G7),0))</f>
        <v>13792</v>
      </c>
      <c r="F34" s="80">
        <f t="shared" si="14"/>
        <v>74974.50919921871</v>
      </c>
      <c r="G34" s="80">
        <f t="shared" si="1"/>
        <v>2874</v>
      </c>
      <c r="H34" s="80">
        <f t="shared" si="15"/>
        <v>70362.41064453122</v>
      </c>
      <c r="I34" s="80">
        <f t="shared" si="16"/>
        <v>11901.852661132805</v>
      </c>
      <c r="J34" s="80">
        <f t="shared" si="17"/>
        <v>1020.2549543457028</v>
      </c>
      <c r="K34" s="80">
        <f t="shared" si="21"/>
        <v>4925</v>
      </c>
      <c r="L34" s="80">
        <f t="shared" si="18"/>
        <v>4925.368745117185</v>
      </c>
      <c r="M34" s="80">
        <f t="shared" si="7"/>
        <v>2189.8381057495044</v>
      </c>
      <c r="N34" s="80">
        <f t="shared" si="8"/>
        <v>2189.82397081449</v>
      </c>
      <c r="O34" s="80">
        <f t="shared" si="22"/>
        <v>48.44794800214095</v>
      </c>
      <c r="P34" s="80">
        <f t="shared" si="22"/>
        <v>48.419442858693856</v>
      </c>
      <c r="Q34" s="80">
        <f>AVERAGE(H32,H33,H34)</f>
        <v>68117.19547526039</v>
      </c>
      <c r="R34" s="64"/>
      <c r="T34" s="64"/>
      <c r="U34" s="64"/>
    </row>
    <row r="35" spans="1:21" ht="12.75">
      <c r="A35" s="46">
        <v>6</v>
      </c>
      <c r="B35" s="46">
        <f t="shared" si="19"/>
        <v>2014</v>
      </c>
      <c r="C35" s="80">
        <f t="shared" si="20"/>
        <v>57984.67091064449</v>
      </c>
      <c r="D35" s="80">
        <f t="shared" si="13"/>
        <v>4350.271018554677</v>
      </c>
      <c r="E35" s="80">
        <f>IF(A35&gt;$G$15,ROUND(C35*($G$5+A34*$G$8),0),ROUND(C35*($G$5+A34*$G$8)*(A35/$G8),0))</f>
        <v>14717</v>
      </c>
      <c r="F35" s="80">
        <f t="shared" si="14"/>
        <v>77051.94192919917</v>
      </c>
      <c r="G35" s="80">
        <f t="shared" si="1"/>
        <v>2954</v>
      </c>
      <c r="H35" s="80">
        <f t="shared" si="15"/>
        <v>72701.67091064449</v>
      </c>
      <c r="I35" s="80">
        <f t="shared" si="16"/>
        <v>12486.667727661123</v>
      </c>
      <c r="J35" s="80">
        <f t="shared" si="17"/>
        <v>1054.1742282043451</v>
      </c>
      <c r="K35" s="80">
        <f t="shared" si="21"/>
        <v>5089</v>
      </c>
      <c r="L35" s="80">
        <f t="shared" si="18"/>
        <v>5089.116963745114</v>
      </c>
      <c r="M35" s="80">
        <f t="shared" si="7"/>
        <v>2239.4671767449427</v>
      </c>
      <c r="N35" s="80">
        <f t="shared" si="8"/>
        <v>2239.4626932281203</v>
      </c>
      <c r="O35" s="80">
        <f t="shared" si="22"/>
        <v>49.62907099543827</v>
      </c>
      <c r="P35" s="80">
        <f t="shared" si="22"/>
        <v>49.63872241363015</v>
      </c>
      <c r="Q35" s="80">
        <f>AVERAGE(H33,H34,H35)</f>
        <v>70386.24202880856</v>
      </c>
      <c r="U35" s="64"/>
    </row>
    <row r="36" spans="1:21" ht="12.75">
      <c r="A36" s="46">
        <v>7</v>
      </c>
      <c r="B36" s="46">
        <f t="shared" si="19"/>
        <v>2015</v>
      </c>
      <c r="C36" s="80">
        <f t="shared" si="20"/>
        <v>59434.2876834106</v>
      </c>
      <c r="D36" s="80">
        <f t="shared" si="13"/>
        <v>4072.879044018542</v>
      </c>
      <c r="E36" s="80">
        <f>IF(A36&gt;$G$15,ROUND(C36*($G$5+A35*$G$8),0),ROUND(C36*($G$5+A35*$G$8)*(A36/$G9),0))</f>
        <v>15679</v>
      </c>
      <c r="F36" s="80">
        <f t="shared" si="14"/>
        <v>79186.16672742914</v>
      </c>
      <c r="G36" s="80">
        <f t="shared" si="1"/>
        <v>3035</v>
      </c>
      <c r="H36" s="80">
        <f t="shared" si="15"/>
        <v>75113.2876834106</v>
      </c>
      <c r="I36" s="80">
        <f t="shared" si="16"/>
        <v>13089.57192085265</v>
      </c>
      <c r="J36" s="80">
        <f t="shared" si="17"/>
        <v>1089.1426714094537</v>
      </c>
      <c r="K36" s="80">
        <f t="shared" si="21"/>
        <v>5258</v>
      </c>
      <c r="L36" s="80">
        <f t="shared" si="18"/>
        <v>5257.930137838742</v>
      </c>
      <c r="M36" s="80">
        <f t="shared" si="7"/>
        <v>2290.3479495991196</v>
      </c>
      <c r="N36" s="80">
        <f t="shared" si="8"/>
        <v>2290.350627592843</v>
      </c>
      <c r="O36" s="80">
        <f t="shared" si="22"/>
        <v>50.88077285417694</v>
      </c>
      <c r="P36" s="80">
        <f t="shared" si="22"/>
        <v>50.887934364722696</v>
      </c>
      <c r="Q36" s="80">
        <f>AVERAGE(H34,H35,H36)</f>
        <v>72725.78974619544</v>
      </c>
      <c r="U36" s="64"/>
    </row>
    <row r="38" ht="12.75">
      <c r="F38" s="82"/>
    </row>
    <row r="39" spans="3:8" ht="12.75">
      <c r="C39" s="70"/>
      <c r="D39" s="73"/>
      <c r="E39" s="73"/>
      <c r="F39" s="70"/>
      <c r="G39" s="70"/>
      <c r="H39" s="72"/>
    </row>
    <row r="40" spans="3:9" ht="12.75">
      <c r="C40" s="70"/>
      <c r="D40" s="73"/>
      <c r="E40" s="73"/>
      <c r="F40" s="81"/>
      <c r="G40" s="81"/>
      <c r="H40" s="72"/>
      <c r="I40" s="82"/>
    </row>
    <row r="41" spans="3:9" ht="12.75">
      <c r="C41" s="70"/>
      <c r="D41" s="73"/>
      <c r="E41" s="73"/>
      <c r="F41" s="84"/>
      <c r="G41" s="70"/>
      <c r="H41" s="72"/>
      <c r="I41" s="70"/>
    </row>
    <row r="42" spans="3:9" ht="12.75">
      <c r="C42" s="70"/>
      <c r="D42" s="71"/>
      <c r="E42" s="65"/>
      <c r="F42" s="81"/>
      <c r="G42" s="70"/>
      <c r="H42" s="72"/>
      <c r="I42" s="70"/>
    </row>
    <row r="43" spans="3:8" ht="12.75">
      <c r="C43" s="70"/>
      <c r="D43" s="71"/>
      <c r="E43" s="65"/>
      <c r="F43" s="70"/>
      <c r="G43" s="70"/>
      <c r="H43" s="72"/>
    </row>
    <row r="44" spans="3:8" ht="12.75">
      <c r="C44" s="70"/>
      <c r="D44" s="71"/>
      <c r="E44" s="65"/>
      <c r="F44" s="70"/>
      <c r="G44" s="70"/>
      <c r="H44" s="72"/>
    </row>
    <row r="45" spans="3:8" ht="12.75">
      <c r="C45" s="70"/>
      <c r="D45" s="71"/>
      <c r="E45" s="65"/>
      <c r="F45" s="70"/>
      <c r="G45" s="70"/>
      <c r="H45" s="72"/>
    </row>
  </sheetData>
  <sheetProtection selectLockedCells="1" selectUnlockedCells="1"/>
  <printOptions/>
  <pageMargins left="0.18" right="0.2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A1" sqref="A1"/>
    </sheetView>
  </sheetViews>
  <sheetFormatPr defaultColWidth="9.140625" defaultRowHeight="12.75"/>
  <cols>
    <col min="1" max="1" width="14.8515625" style="13" customWidth="1"/>
    <col min="2" max="3" width="9.140625" style="13" customWidth="1"/>
    <col min="4" max="4" width="10.7109375" style="13" customWidth="1"/>
    <col min="5" max="5" width="10.140625" style="13" bestFit="1" customWidth="1"/>
    <col min="6" max="6" width="12.421875" style="13" bestFit="1" customWidth="1"/>
    <col min="7" max="7" width="12.421875" style="13" customWidth="1"/>
    <col min="8" max="16384" width="9.140625" style="13" customWidth="1"/>
  </cols>
  <sheetData>
    <row r="1" spans="1:9" ht="12.75">
      <c r="A1" s="66"/>
      <c r="B1" s="66"/>
      <c r="C1" s="66"/>
      <c r="D1" s="66"/>
      <c r="E1" s="66"/>
      <c r="F1" s="66"/>
      <c r="G1" s="66"/>
      <c r="H1" s="66"/>
      <c r="I1" s="66"/>
    </row>
    <row r="2" spans="1:9" ht="12.75">
      <c r="A2" s="66" t="s">
        <v>3</v>
      </c>
      <c r="B2" s="66" t="s">
        <v>4</v>
      </c>
      <c r="C2" s="66"/>
      <c r="D2" s="66"/>
      <c r="E2" s="66"/>
      <c r="F2" s="66"/>
      <c r="G2" s="66"/>
      <c r="H2" s="66"/>
      <c r="I2" s="66"/>
    </row>
    <row r="3" spans="1:9" ht="12.75">
      <c r="A3" s="66" t="s">
        <v>14</v>
      </c>
      <c r="B3" s="66">
        <v>0.1</v>
      </c>
      <c r="C3" s="66">
        <v>0</v>
      </c>
      <c r="D3" s="66">
        <v>0</v>
      </c>
      <c r="E3" s="66"/>
      <c r="F3" s="66"/>
      <c r="G3" s="66"/>
      <c r="H3" s="66"/>
      <c r="I3" s="66"/>
    </row>
    <row r="4" spans="1:9" ht="12.75">
      <c r="A4" s="66" t="s">
        <v>15</v>
      </c>
      <c r="B4" s="66">
        <v>0.15</v>
      </c>
      <c r="C4" s="66">
        <v>755</v>
      </c>
      <c r="D4" s="66">
        <v>7550</v>
      </c>
      <c r="E4" s="66"/>
      <c r="F4" s="66"/>
      <c r="G4" s="66"/>
      <c r="H4" s="66"/>
      <c r="I4" s="66"/>
    </row>
    <row r="5" spans="1:9" ht="12.75">
      <c r="A5" s="66" t="s">
        <v>16</v>
      </c>
      <c r="B5" s="66">
        <v>0.25</v>
      </c>
      <c r="C5" s="66">
        <v>4220</v>
      </c>
      <c r="D5" s="66">
        <v>30650</v>
      </c>
      <c r="E5" s="66"/>
      <c r="F5" s="66"/>
      <c r="G5" s="66"/>
      <c r="H5" s="66"/>
      <c r="I5" s="66"/>
    </row>
    <row r="6" spans="1:9" ht="12.75">
      <c r="A6" s="66" t="s">
        <v>17</v>
      </c>
      <c r="B6" s="66">
        <v>0.28</v>
      </c>
      <c r="C6" s="66">
        <v>15107.5</v>
      </c>
      <c r="D6" s="66">
        <v>74200</v>
      </c>
      <c r="E6" s="66"/>
      <c r="F6" s="66"/>
      <c r="G6" s="66"/>
      <c r="H6" s="66"/>
      <c r="I6" s="66"/>
    </row>
    <row r="7" spans="1:9" ht="12.75">
      <c r="A7" s="66"/>
      <c r="B7" s="66"/>
      <c r="C7" s="66"/>
      <c r="D7" s="66"/>
      <c r="E7" s="66"/>
      <c r="F7" s="66"/>
      <c r="G7" s="66"/>
      <c r="H7" s="66"/>
      <c r="I7" s="66"/>
    </row>
    <row r="8" spans="1:9" ht="12.75">
      <c r="A8" s="66"/>
      <c r="B8" s="66"/>
      <c r="C8" s="66"/>
      <c r="D8" s="66"/>
      <c r="E8" s="66"/>
      <c r="F8" s="66"/>
      <c r="G8" s="66"/>
      <c r="H8" s="66"/>
      <c r="I8" s="66"/>
    </row>
    <row r="9" spans="1:9" ht="12.75">
      <c r="A9" s="66"/>
      <c r="B9" s="66"/>
      <c r="C9" s="66"/>
      <c r="D9" s="66"/>
      <c r="E9" s="66"/>
      <c r="F9" s="66"/>
      <c r="G9" s="66"/>
      <c r="H9" s="66"/>
      <c r="I9" s="66"/>
    </row>
    <row r="10" spans="1:10" ht="12.75">
      <c r="A10" s="66"/>
      <c r="B10" s="67"/>
      <c r="C10" s="67" t="s">
        <v>8</v>
      </c>
      <c r="D10" s="67"/>
      <c r="E10" s="67"/>
      <c r="F10" s="67" t="s">
        <v>13</v>
      </c>
      <c r="G10" s="67" t="s">
        <v>12</v>
      </c>
      <c r="H10" s="66"/>
      <c r="I10" s="66"/>
      <c r="J10" s="13">
        <v>50000</v>
      </c>
    </row>
    <row r="11" spans="1:9" ht="12.75">
      <c r="A11" s="66" t="s">
        <v>0</v>
      </c>
      <c r="B11" s="67"/>
      <c r="C11" s="67" t="s">
        <v>7</v>
      </c>
      <c r="D11" s="67" t="s">
        <v>3</v>
      </c>
      <c r="E11" s="67" t="s">
        <v>9</v>
      </c>
      <c r="F11" s="67" t="s">
        <v>10</v>
      </c>
      <c r="G11" s="67" t="s">
        <v>11</v>
      </c>
      <c r="H11" s="66"/>
      <c r="I11" s="66"/>
    </row>
    <row r="12" spans="1:9" ht="12.75">
      <c r="A12" s="66">
        <v>1</v>
      </c>
      <c r="B12" s="67">
        <f>7550+8450</f>
        <v>16000</v>
      </c>
      <c r="C12" s="67">
        <f>5350+3400</f>
        <v>8750</v>
      </c>
      <c r="D12" s="67">
        <v>7825</v>
      </c>
      <c r="E12" s="67">
        <v>782.5</v>
      </c>
      <c r="F12" s="67">
        <v>0.15</v>
      </c>
      <c r="G12" s="67">
        <v>7825</v>
      </c>
      <c r="H12" s="66"/>
      <c r="I12" s="66"/>
    </row>
    <row r="13" spans="1:9" ht="12.75">
      <c r="A13" s="66">
        <f>+A12+1</f>
        <v>2</v>
      </c>
      <c r="B13" s="67">
        <f>30650+8450</f>
        <v>39100</v>
      </c>
      <c r="C13" s="67">
        <f>5150+3300</f>
        <v>8450</v>
      </c>
      <c r="D13" s="67">
        <v>31850</v>
      </c>
      <c r="E13" s="67">
        <v>4386.25</v>
      </c>
      <c r="F13" s="67">
        <v>0.25</v>
      </c>
      <c r="G13" s="67">
        <v>31850</v>
      </c>
      <c r="H13" s="66"/>
      <c r="I13" s="66"/>
    </row>
    <row r="14" spans="1:9" ht="12.75">
      <c r="A14" s="66">
        <f>+A13+1</f>
        <v>3</v>
      </c>
      <c r="B14" s="67">
        <f>74200+8450</f>
        <v>82650</v>
      </c>
      <c r="C14" s="67">
        <f>+C13</f>
        <v>8450</v>
      </c>
      <c r="D14" s="67">
        <v>77100</v>
      </c>
      <c r="E14" s="67">
        <v>15698.75</v>
      </c>
      <c r="F14" s="67">
        <v>0.28</v>
      </c>
      <c r="G14" s="67">
        <v>77100</v>
      </c>
      <c r="H14" s="66"/>
      <c r="I14" s="66"/>
    </row>
    <row r="15" spans="1:9" ht="12.75">
      <c r="A15" s="66">
        <f>+A14+1</f>
        <v>4</v>
      </c>
      <c r="B15" s="67">
        <f>+C15+D15</f>
        <v>169300</v>
      </c>
      <c r="C15" s="67">
        <f>+C14</f>
        <v>8450</v>
      </c>
      <c r="D15" s="67">
        <v>160850</v>
      </c>
      <c r="E15" s="67">
        <v>39148.75</v>
      </c>
      <c r="F15" s="67">
        <v>0.33</v>
      </c>
      <c r="G15" s="67">
        <v>160850</v>
      </c>
      <c r="H15" s="66"/>
      <c r="I15" s="66"/>
    </row>
    <row r="16" spans="1:9" ht="12.75">
      <c r="A16" s="66">
        <f>+A15+1</f>
        <v>5</v>
      </c>
      <c r="B16" s="67">
        <v>999999</v>
      </c>
      <c r="C16" s="67"/>
      <c r="D16" s="67"/>
      <c r="E16" s="67"/>
      <c r="F16" s="67"/>
      <c r="G16" s="67"/>
      <c r="H16" s="66"/>
      <c r="I16" s="66"/>
    </row>
    <row r="17" spans="1:9" ht="12.75">
      <c r="A17" s="66"/>
      <c r="B17" s="66"/>
      <c r="C17" s="66"/>
      <c r="D17" s="66"/>
      <c r="E17" s="66"/>
      <c r="F17" s="66"/>
      <c r="G17" s="66"/>
      <c r="H17" s="66"/>
      <c r="I17" s="66"/>
    </row>
    <row r="18" spans="1:9" ht="12.75">
      <c r="A18" s="66"/>
      <c r="B18" s="66"/>
      <c r="C18" s="66"/>
      <c r="D18" s="66"/>
      <c r="E18" s="66"/>
      <c r="F18" s="66"/>
      <c r="G18" s="66"/>
      <c r="H18" s="66"/>
      <c r="I18" s="66"/>
    </row>
    <row r="19" spans="1:9" ht="12.75">
      <c r="A19" s="66"/>
      <c r="B19" s="66"/>
      <c r="C19" s="66"/>
      <c r="D19" s="66"/>
      <c r="E19" s="66"/>
      <c r="F19" s="66"/>
      <c r="G19" s="66"/>
      <c r="H19" s="66"/>
      <c r="I19" s="66"/>
    </row>
    <row r="20" spans="1:9" ht="12.75">
      <c r="A20" s="18"/>
      <c r="B20" s="18"/>
      <c r="C20" s="18"/>
      <c r="D20" s="18">
        <v>50000</v>
      </c>
      <c r="E20" s="18"/>
      <c r="F20" s="18"/>
      <c r="H20" s="18"/>
      <c r="I20" s="18"/>
    </row>
    <row r="21" spans="1:9" ht="12.75">
      <c r="A21" s="18"/>
      <c r="B21" s="18"/>
      <c r="C21" s="18"/>
      <c r="D21" s="18">
        <f>+D20-C13</f>
        <v>41550</v>
      </c>
      <c r="E21" s="18">
        <v>4386.25</v>
      </c>
      <c r="F21" s="18"/>
      <c r="G21" s="18"/>
      <c r="H21" s="18"/>
      <c r="I21" s="18"/>
    </row>
    <row r="22" spans="1:9" ht="12.75">
      <c r="A22" s="18"/>
      <c r="B22" s="18"/>
      <c r="C22" s="18"/>
      <c r="D22" s="18"/>
      <c r="E22" s="18">
        <f>0.25*(D21-D13)</f>
        <v>2425</v>
      </c>
      <c r="F22" s="18"/>
      <c r="G22" s="18"/>
      <c r="H22" s="18"/>
      <c r="I22" s="18"/>
    </row>
    <row r="23" spans="1:9" ht="12.75">
      <c r="A23" s="18"/>
      <c r="B23" s="18"/>
      <c r="C23" s="18"/>
      <c r="D23" s="18"/>
      <c r="E23" s="18">
        <f>+E21+E22</f>
        <v>6811.25</v>
      </c>
      <c r="F23" s="18"/>
      <c r="G23" s="18"/>
      <c r="H23" s="18"/>
      <c r="I23" s="18"/>
    </row>
    <row r="24" spans="1:9" ht="12.75">
      <c r="A24" s="18"/>
      <c r="B24" s="18"/>
      <c r="C24" s="18"/>
      <c r="D24" s="18"/>
      <c r="E24" s="18"/>
      <c r="F24" s="18"/>
      <c r="G24" s="18"/>
      <c r="H24" s="18"/>
      <c r="I24" s="18"/>
    </row>
    <row r="25" spans="1:9" ht="12.75">
      <c r="A25" s="18"/>
      <c r="B25" s="18"/>
      <c r="C25" s="18"/>
      <c r="D25" s="18"/>
      <c r="E25" s="18"/>
      <c r="F25" s="18"/>
      <c r="G25" s="18"/>
      <c r="H25" s="18"/>
      <c r="I25" s="18"/>
    </row>
    <row r="26" spans="1:9" ht="12.75">
      <c r="A26" s="14"/>
      <c r="B26" s="18"/>
      <c r="C26" s="18"/>
      <c r="D26" s="18"/>
      <c r="E26" s="18"/>
      <c r="F26" s="18"/>
      <c r="G26" s="18"/>
      <c r="H26" s="18"/>
      <c r="I26" s="18"/>
    </row>
    <row r="27" spans="1:9" ht="12.75">
      <c r="A27" s="18"/>
      <c r="B27" s="18"/>
      <c r="C27" s="18"/>
      <c r="D27" s="18"/>
      <c r="E27" s="18"/>
      <c r="F27" s="18"/>
      <c r="G27" s="18"/>
      <c r="H27" s="18"/>
      <c r="I27" s="18"/>
    </row>
  </sheetData>
  <sheetProtection password="CA45" sheet="1" objects="1" scenarios="1" selectLockedCells="1" selectUn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OPM</dc:creator>
  <cp:keywords/>
  <dc:description/>
  <cp:lastModifiedBy>sjaustin</cp:lastModifiedBy>
  <cp:lastPrinted>2008-06-17T14:18:21Z</cp:lastPrinted>
  <dcterms:created xsi:type="dcterms:W3CDTF">2007-06-20T16:39:04Z</dcterms:created>
  <dcterms:modified xsi:type="dcterms:W3CDTF">2008-07-18T11:45:23Z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1405281392</vt:i4>
  </property>
  <property fmtid="{D5CDD505-2E9C-101B-9397-08002B2CF9AE}" pid="3" name="_EmailSubject">
    <vt:lpwstr>Calculator with 3 year phase-in, 65% offset</vt:lpwstr>
  </property>
  <property fmtid="{D5CDD505-2E9C-101B-9397-08002B2CF9AE}" pid="4" name="_AuthorEmail">
    <vt:lpwstr>T.Clever@opm.gov</vt:lpwstr>
  </property>
  <property fmtid="{D5CDD505-2E9C-101B-9397-08002B2CF9AE}" pid="5" name="_AuthorEmailDisplayName">
    <vt:lpwstr>Clever, T. Scott</vt:lpwstr>
  </property>
  <property fmtid="{D5CDD505-2E9C-101B-9397-08002B2CF9AE}" pid="6" name="_PreviousAdHocReviewCycleID">
    <vt:i4>-1300949682</vt:i4>
  </property>
</Properties>
</file>