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7680" activeTab="0"/>
  </bookViews>
  <sheets>
    <sheet name="InputResults" sheetId="1" r:id="rId1"/>
    <sheet name="Calculations" sheetId="2" state="hidden" r:id="rId2"/>
  </sheets>
  <definedNames>
    <definedName name="percent">'Calculations'!$M$14:$M$33</definedName>
    <definedName name="_xlnm.Print_Area" localSheetId="1">'Calculations'!$A$1:$K$340</definedName>
    <definedName name="_xlnm.Print_Area" localSheetId="0">'InputResults'!$A$1:$K$208</definedName>
    <definedName name="_xlnm.Print_Titles" localSheetId="1">'Calculations'!$1:$3</definedName>
    <definedName name="_xlnm.Print_Titles" localSheetId="0">'InputResults'!$1:$5</definedName>
    <definedName name="SprayGunType">'Calculations'!$M$5:$M$6</definedName>
    <definedName name="WashType">'Calculations'!$M$36:$M$37</definedName>
    <definedName name="yesno">'Calculations'!$M$10:$M$11</definedName>
  </definedNames>
  <calcPr fullCalcOnLoad="1"/>
</workbook>
</file>

<file path=xl/sharedStrings.xml><?xml version="1.0" encoding="utf-8"?>
<sst xmlns="http://schemas.openxmlformats.org/spreadsheetml/2006/main" count="820" uniqueCount="413">
  <si>
    <t>Emissions Reduction Calculator</t>
  </si>
  <si>
    <t>for primer coats?</t>
  </si>
  <si>
    <t>for basecoats?</t>
  </si>
  <si>
    <t>for clear coats?</t>
  </si>
  <si>
    <t>How many paint jobs per week are performed at your shop?</t>
  </si>
  <si>
    <t>Background Calculations</t>
  </si>
  <si>
    <t>Drop down lists</t>
  </si>
  <si>
    <t>HVLP</t>
  </si>
  <si>
    <t>Conv</t>
  </si>
  <si>
    <t>yes</t>
  </si>
  <si>
    <t>no</t>
  </si>
  <si>
    <t>Coating</t>
  </si>
  <si>
    <t>Percent VOC Reduction</t>
  </si>
  <si>
    <t>Percent Material Used Reduction</t>
  </si>
  <si>
    <t>primer</t>
  </si>
  <si>
    <t>Primer</t>
  </si>
  <si>
    <t>Base</t>
  </si>
  <si>
    <t>Clear</t>
  </si>
  <si>
    <t>Total</t>
  </si>
  <si>
    <t xml:space="preserve">Summary: </t>
  </si>
  <si>
    <t>Summaries</t>
  </si>
  <si>
    <t>Your shop has switched from conventional spray guns to HVLP spray guns for primer coats.</t>
  </si>
  <si>
    <t>Your shop has switched from conventional spray guns to HVLP spray guns for base coats.</t>
  </si>
  <si>
    <t>Your shop has switched from conventional spray guns to HVLP spray guns for clear coats.</t>
  </si>
  <si>
    <t>Your shop continues to use HVLP spray guns for primer coats.</t>
  </si>
  <si>
    <t>Your shop continues to use HVLP spray guns for base coats.</t>
  </si>
  <si>
    <t>Your shop continues to use HVLP spray guns for clear coats.</t>
  </si>
  <si>
    <t>Coatings</t>
  </si>
  <si>
    <t>base</t>
  </si>
  <si>
    <t>clear</t>
  </si>
  <si>
    <t>current use</t>
  </si>
  <si>
    <t>past use</t>
  </si>
  <si>
    <t>improvement</t>
  </si>
  <si>
    <t>Reduction Calculations</t>
  </si>
  <si>
    <t>Pounds sprayed</t>
  </si>
  <si>
    <t>Pounds on Car</t>
  </si>
  <si>
    <t>New Transfer Efficiency</t>
  </si>
  <si>
    <t>New Overspray</t>
  </si>
  <si>
    <t>Materials Savings</t>
  </si>
  <si>
    <t>Overspray Reduction</t>
  </si>
  <si>
    <t>Past Transfer Efficiency</t>
  </si>
  <si>
    <t>Volatile Portion of Paint</t>
  </si>
  <si>
    <t>Reduction of VOC</t>
  </si>
  <si>
    <t>% Reduction in Particulate Overspray</t>
  </si>
  <si>
    <t>% Materials Savings</t>
  </si>
  <si>
    <t>Liter/job</t>
  </si>
  <si>
    <t>Paint use at Shop</t>
  </si>
  <si>
    <t>HVLP w training</t>
  </si>
  <si>
    <t>jobs/week</t>
  </si>
  <si>
    <t>gal/week</t>
  </si>
  <si>
    <t>Particulate Overspray</t>
  </si>
  <si>
    <t>spray booth filter efficiency</t>
  </si>
  <si>
    <t>New use of Booth</t>
  </si>
  <si>
    <t>New Emissions from Booth</t>
  </si>
  <si>
    <t>% Reductions</t>
  </si>
  <si>
    <t>Percent Particulate Overspray Reduction</t>
  </si>
  <si>
    <t>Percent Particulate Reductions</t>
  </si>
  <si>
    <t>Summary of Reductions</t>
  </si>
  <si>
    <t>Overall VOC Emission Reduction</t>
  </si>
  <si>
    <t>Overall Percent VOC Emission Reduction</t>
  </si>
  <si>
    <t>Overall Particulate Emission Reduction</t>
  </si>
  <si>
    <t>Overall Percent Particulate Emission Reduction</t>
  </si>
  <si>
    <t>Overall Material Reduction</t>
  </si>
  <si>
    <t>Overall Percent Material Reduction</t>
  </si>
  <si>
    <t>Transfer Efficiency (1)</t>
  </si>
  <si>
    <t>References</t>
  </si>
  <si>
    <t>1a</t>
  </si>
  <si>
    <t>1b</t>
  </si>
  <si>
    <t>Shop Baseline and Improvements</t>
  </si>
  <si>
    <t>Spray Gun Usage</t>
  </si>
  <si>
    <t>Baseline</t>
  </si>
  <si>
    <t>Improvement</t>
  </si>
  <si>
    <t xml:space="preserve">VOC </t>
  </si>
  <si>
    <t>Particulates</t>
  </si>
  <si>
    <t>Materials Used</t>
  </si>
  <si>
    <t>Spray Booth Usage</t>
  </si>
  <si>
    <t>Training</t>
  </si>
  <si>
    <t>Date:</t>
  </si>
  <si>
    <t>[Enter: HVLP for High Volume Low Pressure spray gun, Conv for conventional spray gun]</t>
  </si>
  <si>
    <t xml:space="preserve">What type of spray gun does your painter use? </t>
  </si>
  <si>
    <t xml:space="preserve">How much do your painters spray in a spray booth </t>
  </si>
  <si>
    <t>[Enter percentage of jobs sprayed in booth with ventilation (100 for all the time and 0 for never)]</t>
  </si>
  <si>
    <t>Percent Reductions: Spray Gun Improvements</t>
  </si>
  <si>
    <t>Percent Reductions: Training Improvements</t>
  </si>
  <si>
    <t>Percent Reductions: Spray Booth Improvements</t>
  </si>
  <si>
    <t>VOC Reduction (lbs/yr)</t>
  </si>
  <si>
    <t>Particulate Overspray Reduction (lbs/yr)</t>
  </si>
  <si>
    <t>Material Used Reduction (lbs/yr)</t>
  </si>
  <si>
    <t>Table 3. Emission Reductions From Improvements in Spray Booth Usage</t>
  </si>
  <si>
    <t>Particulate Emission Reductions (lbs/yr)</t>
  </si>
  <si>
    <t>Overall VOC Emission Reduction (lbs/yr)</t>
  </si>
  <si>
    <t>Overall Particulate Emission Reduction (lbs/yr)</t>
  </si>
  <si>
    <t>Shop Background Information</t>
  </si>
  <si>
    <t>New Emissions from Booth w/ Spray Gun Improvement</t>
  </si>
  <si>
    <t xml:space="preserve">(1) Transfer efficiency estimates provided by the Spray Technique and Analysis Research (STAR) program at the Iowa Waste Reduction Center (IWRC).  </t>
  </si>
  <si>
    <t xml:space="preserve">See also DfE Factsheet "Spray with HVLP Guns and Save". </t>
  </si>
  <si>
    <r>
      <t>Training for Painters</t>
    </r>
    <r>
      <rPr>
        <i/>
        <sz val="10"/>
        <rFont val="Arial"/>
        <family val="2"/>
      </rPr>
      <t xml:space="preserve"> </t>
    </r>
    <r>
      <rPr>
        <sz val="10"/>
        <rFont val="Arial"/>
        <family val="2"/>
      </rPr>
      <t>(on proper gun set up and spray technique)</t>
    </r>
  </si>
  <si>
    <t>RP</t>
  </si>
  <si>
    <t>primer coats?</t>
  </si>
  <si>
    <t>basecoats?</t>
  </si>
  <si>
    <t>clearcoats?</t>
  </si>
  <si>
    <t>gal/job</t>
  </si>
  <si>
    <t>Volatile Portion of SB Paint</t>
  </si>
  <si>
    <t>Volatile Portion of WB Paint</t>
  </si>
  <si>
    <t>Total Pounds Sprayed</t>
  </si>
  <si>
    <t>Pounds WB Sprayed</t>
  </si>
  <si>
    <t>Pounds SB Sprayed</t>
  </si>
  <si>
    <t>New Pounds SB Sprayed</t>
  </si>
  <si>
    <t>New Pounds WB Sprayed</t>
  </si>
  <si>
    <t>New Total Pounds Sprayed</t>
  </si>
  <si>
    <t>(Default: 25%)</t>
  </si>
  <si>
    <t>less low-VOC/WB paint is needed</t>
  </si>
  <si>
    <t>% WB Gals</t>
  </si>
  <si>
    <t>Avg paint density:</t>
  </si>
  <si>
    <t>Avg paint VOC:</t>
  </si>
  <si>
    <t>New Gals Sprayed</t>
  </si>
  <si>
    <t>New WB Paint Use</t>
  </si>
  <si>
    <t>New Gals SB Sprayed</t>
  </si>
  <si>
    <t>New Gals WB Sprayed</t>
  </si>
  <si>
    <t>New SB VOC Pounds Sprayed</t>
  </si>
  <si>
    <t>New WB VOC Pounds Sprayed</t>
  </si>
  <si>
    <t>*Particulate portion of SB and WB paint is assumed the same.</t>
  </si>
  <si>
    <t>Baseline Transfer Efficiency</t>
  </si>
  <si>
    <t>Reductions</t>
  </si>
  <si>
    <t>New VOC Pounds Sprayed</t>
  </si>
  <si>
    <t>% VOC Reduction</t>
  </si>
  <si>
    <t>New Particulate Overspray</t>
  </si>
  <si>
    <t>New Amount Sprayed</t>
  </si>
  <si>
    <t>Pounds Oversprayed</t>
  </si>
  <si>
    <t>% Materials Savings w/ Spray Gun Improvement</t>
  </si>
  <si>
    <t>1.0 Spray Gun Improvement</t>
  </si>
  <si>
    <t>1.1 Reductions</t>
  </si>
  <si>
    <t>1.2 Volatile Summary</t>
  </si>
  <si>
    <t>1.3 Particulate Summary</t>
  </si>
  <si>
    <t>VOC Pounds Sprayed</t>
  </si>
  <si>
    <t>Particulate Portion of Paint*</t>
  </si>
  <si>
    <t>Reduction in Particulate Overspray</t>
  </si>
  <si>
    <t>2.1 Reductions</t>
  </si>
  <si>
    <t>Pounds Sprayed w/ Spray Gun Improvement</t>
  </si>
  <si>
    <t>Transfer Efficiency w/ Spray Gun Improvement</t>
  </si>
  <si>
    <t>Pounds on Car w/ Spray Gun Improvement</t>
  </si>
  <si>
    <t>Pounds Oversprayed w/ Spray Gun Improvement</t>
  </si>
  <si>
    <t>1.4 Spray Gun Improvement, with Training</t>
  </si>
  <si>
    <t>1.4.1 Reductions</t>
  </si>
  <si>
    <t>1.4.2 Volatile Summary</t>
  </si>
  <si>
    <t>1.4.3 Particulate Summary</t>
  </si>
  <si>
    <t>VOC Pounds Sprayed w/ Spray Gun Improvement</t>
  </si>
  <si>
    <t>2.0 Spray Booth Use</t>
  </si>
  <si>
    <t>2.2 Reductions with Spray Gun Improvement</t>
  </si>
  <si>
    <t>Particulate Portion of Paint</t>
  </si>
  <si>
    <t>Particulate Overspray w/ Spray Gun Improvement</t>
  </si>
  <si>
    <t>2.3 Reductions with Spray Gun Improvement and Training</t>
  </si>
  <si>
    <t>Emissions from Booth</t>
  </si>
  <si>
    <t>New Use of Booth</t>
  </si>
  <si>
    <t>Reduction in Emissions</t>
  </si>
  <si>
    <t>Use of Booth</t>
  </si>
  <si>
    <t>Emissions from Booth w/ Spray Gun Improvement</t>
  </si>
  <si>
    <t>Reduction in Emissions w/ Spray Gun Improvement</t>
  </si>
  <si>
    <t>% Reductions w/ Spray Gun Improvement</t>
  </si>
  <si>
    <t>Particulate Overspray w/ Training</t>
  </si>
  <si>
    <t>Emissions from Booth w/ Training</t>
  </si>
  <si>
    <t>New Emissions from Booth w/ Training</t>
  </si>
  <si>
    <t>Reduction in Emissions w/ Training</t>
  </si>
  <si>
    <t>% Reduction w/ Training</t>
  </si>
  <si>
    <t>3.0 Low-VOC/Waterborne Paint Use</t>
  </si>
  <si>
    <t>3.1 Reductions</t>
  </si>
  <si>
    <t>3.2 Volatile Summary</t>
  </si>
  <si>
    <t>3.3 Particulate Summary</t>
  </si>
  <si>
    <t>3.4 Low-VOC/Waterborne Paint Use with Spray Gun Improvement</t>
  </si>
  <si>
    <t>3.4.1 Reductions</t>
  </si>
  <si>
    <t>Pounds WB Sprayed w/ Spray Gun Improvement</t>
  </si>
  <si>
    <t>Pounds SB Sprayed w/ Spray Gun Improvement</t>
  </si>
  <si>
    <t>New Total Pounds Sprayed w/ Spray Gun Improvement</t>
  </si>
  <si>
    <t>New Materials Savings w/ Spray Gun Improvement</t>
  </si>
  <si>
    <t>3.4.2 Volatile Summary</t>
  </si>
  <si>
    <t>New VOC Pounds Sprayed w/ Spray Gun Improvement</t>
  </si>
  <si>
    <t>3.4.3 Particulate Summary</t>
  </si>
  <si>
    <t>New Particulate Overspray w/ Spray Gun Improvement</t>
  </si>
  <si>
    <t>Reduction in Particulate Overspray w/ Spray Gun Improvement</t>
  </si>
  <si>
    <t>3.5 Low-VOC/Waterborne Paint Use with Spray Gun Improvement and Training</t>
  </si>
  <si>
    <t>Pounds Sprayed w/ Training</t>
  </si>
  <si>
    <t>Pounds WB Sprayed w/ Training</t>
  </si>
  <si>
    <t>Pounds SB Sprayed w/ Training</t>
  </si>
  <si>
    <t>New Total Pounds Sprayed w/ Training</t>
  </si>
  <si>
    <t>New Materials Savings w/ Training</t>
  </si>
  <si>
    <t>% Materials Savings w/ Training</t>
  </si>
  <si>
    <t>VOC Pounds Sprayed w/ Training</t>
  </si>
  <si>
    <t>Transfer Efficiency w/ Training</t>
  </si>
  <si>
    <t>New Particulate Overspray w/ Training</t>
  </si>
  <si>
    <t>Reduction in Particulate Overspray w/ Training</t>
  </si>
  <si>
    <t>% Reduction</t>
  </si>
  <si>
    <t xml:space="preserve">(Default: 2.1 lbs/gal for primer) </t>
  </si>
  <si>
    <t>(Default: 3.5 lbs/gal for basecoat)</t>
  </si>
  <si>
    <t>(Default: 2.1 lbs/gal for clearcoat)</t>
  </si>
  <si>
    <t xml:space="preserve">(Default: 10 lbs/gal for primer) </t>
  </si>
  <si>
    <t>(Default: 7.9 lbs/gal for basecoat)</t>
  </si>
  <si>
    <t>(Default: 8.2 lbs/gal for clear coat)</t>
  </si>
  <si>
    <t xml:space="preserve">(Default: 8.3 lbs/gal for primer) </t>
  </si>
  <si>
    <t>(Default: 8.3 lbs/gal for basecoat)</t>
  </si>
  <si>
    <t>(Default: 8.3 lbs/gal for clear coat)</t>
  </si>
  <si>
    <t xml:space="preserve">(Default: 4.8 lbs/gal for primer) </t>
  </si>
  <si>
    <t>(Default: 5.0 lbs/gal for basecoat)</t>
  </si>
  <si>
    <t>(Default: 5.1 lbs/gal for clear coat)</t>
  </si>
  <si>
    <t>3.5.1 Reductions</t>
  </si>
  <si>
    <t>3.5.2 Volatile Summary</t>
  </si>
  <si>
    <t>3.5.3 Particulate Summary</t>
  </si>
  <si>
    <t>3.6 Low-VOC/Waterborne Paint Use with Spray Booth Improvement</t>
  </si>
  <si>
    <t>3.7 Low-VOC/Waterborne Paint Use with Spray Gun and Spray Booth Improvements</t>
  </si>
  <si>
    <t>3.8 Low-VOC/Waterborne Paint Use with Spray Gun Improvement, Training, and Spray Booth Use</t>
  </si>
  <si>
    <t>Shop Baseline and Improvements (continued)</t>
  </si>
  <si>
    <t>for the Automotive Refinishing Industry</t>
  </si>
  <si>
    <t>[Information should be available in MSDSs.  If not, use the default values listed below.]</t>
  </si>
  <si>
    <t>[Enter percentage of paint volume used per week that is waterborne (100% for all and 0% for none)]</t>
  </si>
  <si>
    <r>
      <t xml:space="preserve">What is the VOC content of the </t>
    </r>
    <r>
      <rPr>
        <u val="single"/>
        <sz val="10"/>
        <rFont val="Arial"/>
        <family val="2"/>
      </rPr>
      <t>waterborne</t>
    </r>
    <r>
      <rPr>
        <sz val="10"/>
        <rFont val="Arial"/>
        <family val="0"/>
      </rPr>
      <t xml:space="preserve"> paint you use in your shop (in lbs/gal)?</t>
    </r>
  </si>
  <si>
    <r>
      <t xml:space="preserve">What is the VOC (volatile organic compounds) content of the </t>
    </r>
    <r>
      <rPr>
        <u val="single"/>
        <sz val="10"/>
        <rFont val="Arial"/>
        <family val="2"/>
      </rPr>
      <t>solvent-based</t>
    </r>
    <r>
      <rPr>
        <sz val="10"/>
        <rFont val="Arial"/>
        <family val="0"/>
      </rPr>
      <t xml:space="preserve"> paint you use in your shop (in lbs/gal)?</t>
    </r>
  </si>
  <si>
    <r>
      <t xml:space="preserve">What is the density of the </t>
    </r>
    <r>
      <rPr>
        <u val="single"/>
        <sz val="10"/>
        <rFont val="Arial"/>
        <family val="2"/>
      </rPr>
      <t>waterborne</t>
    </r>
    <r>
      <rPr>
        <sz val="10"/>
        <rFont val="Arial"/>
        <family val="0"/>
      </rPr>
      <t xml:space="preserve"> paint you use in your shop (in lbs/gal)?</t>
    </r>
  </si>
  <si>
    <r>
      <t xml:space="preserve">What is the density of the </t>
    </r>
    <r>
      <rPr>
        <u val="single"/>
        <sz val="10"/>
        <rFont val="Arial"/>
        <family val="2"/>
      </rPr>
      <t>solvent-based</t>
    </r>
    <r>
      <rPr>
        <sz val="10"/>
        <rFont val="Arial"/>
        <family val="0"/>
      </rPr>
      <t xml:space="preserve"> paint you use in your shop (in lbs/gal)?</t>
    </r>
  </si>
  <si>
    <t>How much paint do you use in one week prior to improvements (enter number in gallons)?</t>
  </si>
  <si>
    <t>Waterborne Paint Usage</t>
  </si>
  <si>
    <t>How much paint used at your shop is considered to be waterborne?</t>
  </si>
  <si>
    <t>Percent Reductions: Waterborne Paint Use Improvements</t>
  </si>
  <si>
    <t>Table 1. Emission Reductions From Use of Waterborne Paint</t>
  </si>
  <si>
    <t>Results Table 2a: Spray gun improvments</t>
  </si>
  <si>
    <t>Results Table 2b: Painter's Training</t>
  </si>
  <si>
    <t>Table 2a. Emission Reductions From Improvement in Type of Spray Gun Use</t>
  </si>
  <si>
    <t>Table 2b. Additional HVLP Emission Reductions with Training</t>
  </si>
  <si>
    <t>Results Table 1: Waterborne Paint Use</t>
  </si>
  <si>
    <t>You have increased your use of waterborne primers.</t>
  </si>
  <si>
    <t>You have increased your use of waterborne basecoats.</t>
  </si>
  <si>
    <t>You have increased your use of waterborne clearcoats.</t>
  </si>
  <si>
    <t>Results Table 3: Spray Booth Use</t>
  </si>
  <si>
    <t>You have increased your use of the spray booth for primers.</t>
  </si>
  <si>
    <t>You have increased your use of the spray booth for basecoats.</t>
  </si>
  <si>
    <t>You have increased your use of the spray booth for clearcoats.</t>
  </si>
  <si>
    <t>Your shop continues to use conventional spray guns for primer coats.</t>
  </si>
  <si>
    <t>Your shop continues to use conventional spray guns for base coats.</t>
  </si>
  <si>
    <t>Your shop continues to use conventional spray guns for clear coats.</t>
  </si>
  <si>
    <t>Basecoat</t>
  </si>
  <si>
    <t>Clearcoat</t>
  </si>
  <si>
    <t>Increased use of waterborne coating products:</t>
  </si>
  <si>
    <t>Increased spraying within spray booth:</t>
  </si>
  <si>
    <t>Switched to HVLP spray guns to apply coating products:</t>
  </si>
  <si>
    <t>Improvement 1:</t>
  </si>
  <si>
    <t>Improvement 2:</t>
  </si>
  <si>
    <t>Improvement 3:</t>
  </si>
  <si>
    <t>Improvement 4:</t>
  </si>
  <si>
    <t>Your painter has been trained to use HVLP spray guns properly, prior to additional improvements.</t>
  </si>
  <si>
    <t>Your painter is not specifically trained to use HVLP spray guns properly.</t>
  </si>
  <si>
    <t>Your painter has improved and is trained to use HVLP spray guns properly.</t>
  </si>
  <si>
    <t>Painter training is not applicable - you must begin using HVLP spray guns to achieve material savings and emissions reduction with this improvement.</t>
  </si>
  <si>
    <t>Provided HVLP spray training to painters:</t>
  </si>
  <si>
    <t>Summary of Reductions (continued)</t>
  </si>
  <si>
    <t>(Default: 98% )</t>
  </si>
  <si>
    <t>NA</t>
  </si>
  <si>
    <t>Spray Gun/Cup Cleaning Method</t>
  </si>
  <si>
    <t>How much fresh solvent-based thinner do you use for spray gun/cup cleaning in one week, prior to improvements (enter number in gallons)?</t>
  </si>
  <si>
    <t>gals/week</t>
  </si>
  <si>
    <r>
      <t xml:space="preserve">What is the density of the </t>
    </r>
    <r>
      <rPr>
        <u val="single"/>
        <sz val="10"/>
        <rFont val="Arial"/>
        <family val="2"/>
      </rPr>
      <t>solvent-based</t>
    </r>
    <r>
      <rPr>
        <sz val="10"/>
        <rFont val="Arial"/>
        <family val="0"/>
      </rPr>
      <t xml:space="preserve"> thinner (cleaner) you use in your shop (in lbs/gal)?</t>
    </r>
  </si>
  <si>
    <t>[Information should be available in MSDSs.  If not, use the default value listed below.]</t>
  </si>
  <si>
    <t xml:space="preserve">(Default: 7 lbs/gal for solvent-based thinner) </t>
  </si>
  <si>
    <t xml:space="preserve">What method is used to clean spray guns at your shop? </t>
  </si>
  <si>
    <t>Manual</t>
  </si>
  <si>
    <t>Question 8</t>
  </si>
  <si>
    <t>Question 9</t>
  </si>
  <si>
    <t>Questions 7 and 11</t>
  </si>
  <si>
    <t>Question 14</t>
  </si>
  <si>
    <t>Automatic</t>
  </si>
  <si>
    <t>4.0 Spray Equipment Cleaning Improvements</t>
  </si>
  <si>
    <t>Total Solvent</t>
  </si>
  <si>
    <t>Manual -&gt; Automatic Cleaning</t>
  </si>
  <si>
    <t>% Solvent Reduction</t>
  </si>
  <si>
    <t>(2)</t>
  </si>
  <si>
    <t>Source:</t>
  </si>
  <si>
    <t>% VOC Emissions Reduction</t>
  </si>
  <si>
    <t>(3)</t>
  </si>
  <si>
    <t>Manual Cleaning w/ VOC Solvent:</t>
  </si>
  <si>
    <t>% Evap Losses</t>
  </si>
  <si>
    <r>
      <t xml:space="preserve">(2) </t>
    </r>
    <r>
      <rPr>
        <i/>
        <sz val="10"/>
        <rFont val="Arial"/>
        <family val="2"/>
      </rPr>
      <t>Clean Manufacturing and Pollution Prevention Technical Assistance Report SM2664</t>
    </r>
    <r>
      <rPr>
        <sz val="10"/>
        <rFont val="Arial"/>
        <family val="2"/>
      </rPr>
      <t>; Indiana Department of Environmental Management (IDEM) and Indiana Clean Manufacturing Technology &amp; Safe Materials Institute (CMTI) of Purdue University; August 2004. Assumed 20% evaporative loss with manual cleaning; lid closed when not in use.  Note: applied to wood furniture manufacture.</t>
    </r>
  </si>
  <si>
    <t>4.1 Reductions</t>
  </si>
  <si>
    <t>New Pounds used/yr</t>
  </si>
  <si>
    <t>VOC</t>
  </si>
  <si>
    <r>
      <t xml:space="preserve">What is the VOC content of the </t>
    </r>
    <r>
      <rPr>
        <u val="single"/>
        <sz val="10"/>
        <rFont val="Arial"/>
        <family val="2"/>
      </rPr>
      <t>solvent-based</t>
    </r>
    <r>
      <rPr>
        <sz val="10"/>
        <rFont val="Arial"/>
        <family val="0"/>
      </rPr>
      <t xml:space="preserve"> thinner (cleaner) you use in your shop (in lbs/gal)?</t>
    </r>
  </si>
  <si>
    <t xml:space="preserve">(Default: 100% VOC, which is equivalent to the solvent density in Q.13 above) </t>
  </si>
  <si>
    <t>VOC Pounds Used/Yr</t>
  </si>
  <si>
    <t>VOC Emission/Yr</t>
  </si>
  <si>
    <t>New VOC Pounds Used</t>
  </si>
  <si>
    <t>New VOC Emission/Yr</t>
  </si>
  <si>
    <t>Reduction of VOC Emissions</t>
  </si>
  <si>
    <t>% VOC Emission Reduction</t>
  </si>
  <si>
    <t>4.2 Volatile Summary</t>
  </si>
  <si>
    <r>
      <t xml:space="preserve">(3) </t>
    </r>
    <r>
      <rPr>
        <i/>
        <sz val="10"/>
        <rFont val="Arial"/>
        <family val="2"/>
      </rPr>
      <t>Pollution Prevention Implementation Plan for Metal Manufacturers</t>
    </r>
    <r>
      <rPr>
        <sz val="10"/>
        <rFont val="Arial"/>
        <family val="2"/>
      </rPr>
      <t>; Iowa Waste Reduction Center (IWRC); No date. “[Automatic gun washers] reportedly reduce solvent waste by 50-75%.  VOC emissions can be reduced by up to 20%...” These reductions are compared to a baseline practice of manual cleaning.</t>
    </r>
  </si>
  <si>
    <t>Do you use disposable spray gun cup liners?</t>
  </si>
  <si>
    <t>4.3.1 Reductions</t>
  </si>
  <si>
    <t>4.3 Spray Gun Cup Liners w/ Cleaning Equipment Improvements</t>
  </si>
  <si>
    <t>Spray Gun Cup Liners</t>
  </si>
  <si>
    <t>(4)</t>
  </si>
  <si>
    <t>Percent Reductions: Spray Gun Cup Liner Improvements</t>
  </si>
  <si>
    <t>4.3.2 Volatile Summary</t>
  </si>
  <si>
    <t>What is the density of the low-VOC/waterbased cleaner used in your shop (in lbs/gal)?</t>
  </si>
  <si>
    <r>
      <t>What is the VOC content of the low-VOC/waterbased cleaner used</t>
    </r>
    <r>
      <rPr>
        <sz val="10"/>
        <rFont val="Arial"/>
        <family val="0"/>
      </rPr>
      <t xml:space="preserve"> in your shop (in lbs/gal)?</t>
    </r>
  </si>
  <si>
    <t xml:space="preserve">(Default: 1% VOC, or 1% x the density provided in Q.17 above) </t>
  </si>
  <si>
    <t xml:space="preserve">(Default: 8.3 lbs/gal for low-VOC/waterbased cleaner) </t>
  </si>
  <si>
    <t>% Reduction Used w/ Equipment Improvments</t>
  </si>
  <si>
    <t>New Pounds Solvent used/yr</t>
  </si>
  <si>
    <t>New Pounds Low-VOC Cleaner used/yr</t>
  </si>
  <si>
    <t>Reduction of Solvent Use</t>
  </si>
  <si>
    <t>% Solvent Use Reduction</t>
  </si>
  <si>
    <t>Volatile Portion of Low-VOC Cleaner</t>
  </si>
  <si>
    <t>Pounds Solvent Used/Yr</t>
  </si>
  <si>
    <t>% Reduction Used w/ Cup Liner Improvement</t>
  </si>
  <si>
    <t>New Pounds Solvent Used/Yr</t>
  </si>
  <si>
    <t>New Pounds Low-VOC Cleaner Used/Yr</t>
  </si>
  <si>
    <t>Cleaning Solvent</t>
  </si>
  <si>
    <t>Table 4. Emission Reductions From Equipment Cleaning Improvements</t>
  </si>
  <si>
    <t>Results Table 4: Equipment Cleaning Improvements</t>
  </si>
  <si>
    <t>Your shop has switched from manual cleaning methods to using an automated system.</t>
  </si>
  <si>
    <t>Your shop continues to use an automated system for cleaning spray equipment.</t>
  </si>
  <si>
    <t>Your shop continues to use manual cleaning methods for cleaning spray equipment.</t>
  </si>
  <si>
    <t>Your shop has begun using disposable spray gun cup liners.</t>
  </si>
  <si>
    <t>Your shop continues to use disposable spray gun cup liners.</t>
  </si>
  <si>
    <t>Your shop does not use disposable spray gun cup liners.</t>
  </si>
  <si>
    <t>You have increased your use of low-VOC/waterbased cleaners.</t>
  </si>
  <si>
    <t>Improvement 5:</t>
  </si>
  <si>
    <t>Equipment cleaning improvements:</t>
  </si>
  <si>
    <t>Automated System</t>
  </si>
  <si>
    <t>Low-VOC/ Waterbased Cleaner</t>
  </si>
  <si>
    <t>Shop Name (optional):</t>
  </si>
  <si>
    <t>[If the gallons of paint used is unknown, delete all values in Q.1a below and answer Q.1b.]</t>
  </si>
  <si>
    <t>Baseline % WB</t>
  </si>
  <si>
    <t>Overall annual cost savings for coatings:</t>
  </si>
  <si>
    <t>(assumes $90/gallon cost for coatings)</t>
  </si>
  <si>
    <t>[Enter: Manual for any manual cleaning (open bucket, cleaning basin); Automatic for automated system.]</t>
  </si>
  <si>
    <t>6.0 Summary of Reductions</t>
  </si>
  <si>
    <t>Improvement % WB</t>
  </si>
  <si>
    <t>New % WB Gals</t>
  </si>
  <si>
    <r>
      <t xml:space="preserve">(4) </t>
    </r>
    <r>
      <rPr>
        <i/>
        <sz val="10"/>
        <rFont val="Arial"/>
        <family val="2"/>
      </rPr>
      <t>3M PPS</t>
    </r>
    <r>
      <rPr>
        <i/>
        <vertAlign val="superscript"/>
        <sz val="10"/>
        <rFont val="Arial"/>
        <family val="2"/>
      </rPr>
      <t>TM</t>
    </r>
    <r>
      <rPr>
        <i/>
        <sz val="10"/>
        <rFont val="Arial"/>
        <family val="2"/>
      </rPr>
      <t xml:space="preserve"> Paint Preparation System Type H/O Pressure Cup Product Brochure</t>
    </r>
    <r>
      <rPr>
        <sz val="10"/>
        <rFont val="Arial"/>
        <family val="2"/>
      </rPr>
      <t>; No date. “Up to 70% savings of cleaning solvent.” Used 35% midpoint as default.</t>
    </r>
  </si>
  <si>
    <t>primer coats:</t>
  </si>
  <si>
    <t>basecoats:</t>
  </si>
  <si>
    <t>clear coats:</t>
  </si>
  <si>
    <t>Baseline 
% low-VOC/WB</t>
  </si>
  <si>
    <t>Improvement 
% low-VOC/WB</t>
  </si>
  <si>
    <t>How much of your cleaning solvents are considered to be low-VOC or waterbased?</t>
  </si>
  <si>
    <t>[Enter percentage of the total solvent volume used per week (in Q.12) that is low-VOC/waterborne (100% for all and 0% for none)]</t>
  </si>
  <si>
    <t>Avg solvent density:</t>
  </si>
  <si>
    <t>Avg solvent VOC:</t>
  </si>
  <si>
    <t>New WB Cleaner Use</t>
  </si>
  <si>
    <t>New % Low-VOC Gals</t>
  </si>
  <si>
    <t>Baseline % Low-VOC Gals</t>
  </si>
  <si>
    <t>Pounds Solvent used/yr</t>
  </si>
  <si>
    <t>Gallons solvent used/yr</t>
  </si>
  <si>
    <t>Note: For estimating purposes, DfE assumes a total of 0.26 gallon (or 1 liter) of paint is used per job, with 66% by volume being primer, 10% being basecoat, and 24% being clearcoat.  This default represents an "average" job before improvements, based on industry input.  Jobs may use up to 2 gallons (7.5 L) of total paint for a whole car.</t>
  </si>
  <si>
    <t>What is the efficiency of your spray booth filter?</t>
  </si>
  <si>
    <t>Percent Reductions: Spray Gun Cleaning Improvements</t>
  </si>
  <si>
    <t>Low-VOC or Waterbased Spray Gun Cleaner Usage</t>
  </si>
  <si>
    <r>
      <t xml:space="preserve">Note that the material savings resulting from the use of waterborne coatings is </t>
    </r>
    <r>
      <rPr>
        <b/>
        <sz val="10"/>
        <rFont val="Arial"/>
        <family val="2"/>
      </rPr>
      <t>not</t>
    </r>
    <r>
      <rPr>
        <sz val="10"/>
        <rFont val="Arial"/>
        <family val="2"/>
      </rPr>
      <t xml:space="preserve"> included in the above estimate, as these coatings have a different pricing scale and may be more expensive than traditional coatings.</t>
    </r>
  </si>
  <si>
    <t>Are your painter(s) trained to use HVLP spray guns properly?</t>
  </si>
  <si>
    <t>Please provide paint usage information in either Q.1a or Q.1b below.  Information provided in Q.1b overrides Q.1a information; therefore, it is important that all information be deleted from Q.1b if answering Q.1a.</t>
  </si>
  <si>
    <t>[Be sure to clear or delete all values below if Q.1a is answered above.]</t>
  </si>
  <si>
    <r>
      <t xml:space="preserve">What reduction in </t>
    </r>
    <r>
      <rPr>
        <u val="single"/>
        <sz val="10"/>
        <rFont val="Arial"/>
        <family val="2"/>
      </rPr>
      <t>basecoat</t>
    </r>
    <r>
      <rPr>
        <sz val="10"/>
        <rFont val="Arial"/>
        <family val="0"/>
      </rPr>
      <t xml:space="preserve"> paint usage have you found with waterborne paint?</t>
    </r>
  </si>
  <si>
    <t>[Note: Some shops have found that waterborne basecoats provide better coverage and thus, require fewer coats.  If you have found this, enter the percent reduction in basecoat usage that you have achieved due to this affect in the box below.  Enter 0 if you have not noticed any change in the amount used.]</t>
  </si>
  <si>
    <t>baseline gal low-VOC/week</t>
  </si>
  <si>
    <t>5.1 Reductions</t>
  </si>
  <si>
    <t>5.2 Volatile Summary</t>
  </si>
  <si>
    <t>5.0 Low-VOC/Waterbased Cleaner</t>
  </si>
  <si>
    <t>VOC Emission/Yr (uses baseline equipment emission rate)</t>
  </si>
  <si>
    <t>Volatile Portion of Solvent</t>
  </si>
  <si>
    <t>New VOC Emission/Yr (uses baseline equipment emission rate)</t>
  </si>
  <si>
    <t>5.3 Reductions w/ Equipment Improvements</t>
  </si>
  <si>
    <t>5.4 Volatile Summary w/ Equipment Improvements</t>
  </si>
  <si>
    <t>5.5 Spray Gun Cup Liners w/ Cleaning Equipment and Low-VOC Cleaner Improvements</t>
  </si>
  <si>
    <t>5.5.1 Reductions</t>
  </si>
  <si>
    <t>5.5.2 Volatile Summary</t>
  </si>
  <si>
    <t>Percent Reductions: Low-VOC Cleaner</t>
  </si>
  <si>
    <t>Material Savings</t>
  </si>
  <si>
    <t>Baseline VOC Content of Solvent/Cleaner</t>
  </si>
  <si>
    <t>Baseline Gallons Solvent/Cleaner used/yr</t>
  </si>
  <si>
    <t>Baseline Pounds Solvent/Cleaner used/yr</t>
  </si>
  <si>
    <t>Baseline Pounds used/yr</t>
  </si>
  <si>
    <t>Material Used Reduction (a)</t>
  </si>
  <si>
    <t>Percent Material Used Reduction (a)</t>
  </si>
  <si>
    <t>Table 5. Total Emission Reductions (b)</t>
  </si>
  <si>
    <t>Overall Material Reduction (lbs/yr) (a)</t>
  </si>
  <si>
    <t>Overall Percent Material Reduction (a)</t>
  </si>
  <si>
    <t>3.1 Intermediate Calcs</t>
  </si>
  <si>
    <t>Gals SB Sprayed</t>
  </si>
  <si>
    <t>Gals WB Sprayed</t>
  </si>
  <si>
    <t>Total Gals Sprayed</t>
  </si>
  <si>
    <t>Back Calc New % WB Gals Check</t>
  </si>
  <si>
    <t>3.4.1 Intermediate Calcs</t>
  </si>
  <si>
    <t>New Pounds SB Sprayed w/ Spray Gun Improvement</t>
  </si>
  <si>
    <t>New Pounds WB Sprayed w/ Spray Gun Improvement</t>
  </si>
  <si>
    <t>3.5.1 Intermediate Calcs</t>
  </si>
  <si>
    <t>New Pounds SB Sprayed w/ Training</t>
  </si>
  <si>
    <t>New Pounds WB Sprayed w/ Training</t>
  </si>
  <si>
    <t>The baseline spray volumes:</t>
  </si>
  <si>
    <t>The volume reduction of SB paint used is found by taking the difference in SB paint used before and after improvement:</t>
  </si>
  <si>
    <t xml:space="preserve">     Eqn. 1</t>
  </si>
  <si>
    <t>The volume of WB paint that replaces the SB paint reduced is 25% less than the SB paint reduced:</t>
  </si>
  <si>
    <t>The new volume of paint sprayed is equal to the baseline sprayed plus the WB paint added and less the SB paint no longer used:</t>
  </si>
  <si>
    <t>Eqn. 2</t>
  </si>
  <si>
    <t>Eqn. 2 is substituted into Eqn. 1:</t>
  </si>
  <si>
    <t>Rearranging:</t>
  </si>
  <si>
    <t>Substituting the above equation into Eqn. 2:</t>
  </si>
  <si>
    <t>From here we can calculate the new SB and WB volumes:</t>
  </si>
  <si>
    <t>New Gals Sprayed (5)</t>
  </si>
  <si>
    <t>(5) Method for Calculating New Paint Volume with Waterborne Paint Use Improvement:</t>
  </si>
  <si>
    <t>Eqn. 1</t>
  </si>
  <si>
    <t>Notes:
(a) The material reductions shown in Tables 4 and 5 include material reductions in the amount of solvent/cleaner as a result of improvements made to cleaning methods and spray cup liner usage only.  While replacing conventional VOC-based solvents with low-VOC/WB cleaners reduces the amount of conventional solvent used, it may or may not result in an overall reduction of cleaning materials used, as this result is expected to be highly variable and dependant on several shop-specific factors.
(b) Tables 1-4 above present the reductions resulting from each improvement taken individually, while Table 5 presents the overall reductions of all improvements combined.  The individual reductions in Tables 1-4 are not additive.</t>
  </si>
  <si>
    <t>EPA’s DfE Program has been working with the automotive refinishing industry since 1997 to identify and promote safer, cleaner, and more efficient practices and technologies.  This worksheet provides a tool to develop rough estimates for emissions and material use reductions achieved through implementation of selected DfE Best Practices for the collision repair industry. It is intended to be used as a companion with the DfE Best Practices Self-Evaluation Checklist.  This and numerous other DfE resources for best practices within the collision repair industry can be downloaded from the DfE web site at http://www.epa.gov/dfe/pubs/projects/auto.</t>
  </si>
  <si>
    <t>May 2008</t>
  </si>
  <si>
    <t>U.S. EPA Design for the Environment</t>
  </si>
  <si>
    <t>EPA-744-F-08-004</t>
  </si>
  <si>
    <r>
      <t>Instructions</t>
    </r>
    <r>
      <rPr>
        <sz val="10"/>
        <rFont val="Arial"/>
        <family val="2"/>
      </rPr>
      <t>: Enter background information about your shop in questions 1 through 3 (in gray boxes) below. For questions 4 through 19, provide baseline information (current shop practice) in the first column and improvement information in the second column (again, enter answers in gray boxes). The columns on the right will display estimated percent reductions from the implementation of each best practice (see questions 7, 8, 9, 11, 15, 16, and 19). Tables 1 through 4 present a more detailed summary of reduction estimates for each respective best practice implemented. Table 5 presents an overall summary of the best practice improvements and an estimate of the combined reductions acheived through all improvements noted.</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</si>
</sst>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_(* #,##0.0_);_(* \(#,##0.0\);_(* &quot;-&quot;??_);_(@_)"/>
    <numFmt numFmtId="169" formatCode="_(* #,##0_);_(* \(#,##0\);_(* &quot;-&quot;??_);_(@_)"/>
    <numFmt numFmtId="170" formatCode="_(* #,##0.000_);_(* \(#,##0.000\);_(* &quot;-&quot;??_);_(@_)"/>
    <numFmt numFmtId="171" formatCode="0.000000"/>
    <numFmt numFmtId="172" formatCode="0.0000000"/>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quot;$&quot;#,##0"/>
    <numFmt numFmtId="179" formatCode="[$-409]dddd\,\ mmmm\ dd\,\ yyyy"/>
  </numFmts>
  <fonts count="14">
    <font>
      <sz val="10"/>
      <name val="Arial"/>
      <family val="0"/>
    </font>
    <font>
      <b/>
      <sz val="10"/>
      <name val="Arial"/>
      <family val="2"/>
    </font>
    <font>
      <b/>
      <sz val="14"/>
      <name val="Arial"/>
      <family val="2"/>
    </font>
    <font>
      <b/>
      <sz val="12"/>
      <name val="Arial"/>
      <family val="2"/>
    </font>
    <font>
      <sz val="8"/>
      <name val="Arial"/>
      <family val="0"/>
    </font>
    <font>
      <b/>
      <u val="single"/>
      <sz val="10"/>
      <name val="Arial"/>
      <family val="2"/>
    </font>
    <font>
      <b/>
      <i/>
      <sz val="10"/>
      <name val="Arial"/>
      <family val="2"/>
    </font>
    <font>
      <sz val="10"/>
      <color indexed="10"/>
      <name val="Arial"/>
      <family val="2"/>
    </font>
    <font>
      <i/>
      <sz val="10"/>
      <name val="Arial"/>
      <family val="2"/>
    </font>
    <font>
      <i/>
      <u val="single"/>
      <sz val="10"/>
      <name val="Arial"/>
      <family val="2"/>
    </font>
    <font>
      <u val="single"/>
      <sz val="10"/>
      <name val="Arial"/>
      <family val="2"/>
    </font>
    <font>
      <sz val="12"/>
      <name val="Wingdings 2"/>
      <family val="1"/>
    </font>
    <font>
      <i/>
      <vertAlign val="superscript"/>
      <sz val="10"/>
      <name val="Arial"/>
      <family val="2"/>
    </font>
    <font>
      <sz val="12"/>
      <name val="Times New Roman"/>
      <family val="1"/>
    </font>
  </fonts>
  <fills count="4">
    <fill>
      <patternFill/>
    </fill>
    <fill>
      <patternFill patternType="gray125"/>
    </fill>
    <fill>
      <patternFill patternType="solid">
        <fgColor indexed="22"/>
        <bgColor indexed="64"/>
      </patternFill>
    </fill>
    <fill>
      <patternFill patternType="gray0625"/>
    </fill>
  </fills>
  <borders count="37">
    <border>
      <left/>
      <right/>
      <top/>
      <bottom/>
      <diagonal/>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thin"/>
    </border>
    <border>
      <left style="thin"/>
      <right style="medium"/>
      <top>
        <color indexed="63"/>
      </top>
      <bottom style="medium"/>
    </border>
    <border>
      <left style="thin"/>
      <right style="medium"/>
      <top style="thin"/>
      <bottom style="double"/>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ill="1" applyAlignment="1">
      <alignment/>
    </xf>
    <xf numFmtId="0" fontId="5" fillId="0" borderId="0" xfId="0" applyFont="1" applyAlignment="1">
      <alignment/>
    </xf>
    <xf numFmtId="0" fontId="0" fillId="0" borderId="0" xfId="0" applyAlignment="1">
      <alignment wrapText="1"/>
    </xf>
    <xf numFmtId="0" fontId="0" fillId="0" borderId="0" xfId="0" applyAlignment="1">
      <alignment/>
    </xf>
    <xf numFmtId="9" fontId="0" fillId="0" borderId="0" xfId="19" applyFill="1" applyAlignment="1">
      <alignment/>
    </xf>
    <xf numFmtId="0" fontId="6" fillId="0" borderId="0" xfId="0" applyFont="1" applyAlignment="1">
      <alignment/>
    </xf>
    <xf numFmtId="0" fontId="0" fillId="0" borderId="0" xfId="0" applyFont="1" applyAlignment="1">
      <alignment wrapText="1"/>
    </xf>
    <xf numFmtId="0" fontId="0" fillId="0" borderId="0" xfId="0" applyBorder="1" applyAlignment="1">
      <alignment/>
    </xf>
    <xf numFmtId="0" fontId="1" fillId="0" borderId="1" xfId="0" applyFont="1" applyBorder="1" applyAlignment="1">
      <alignment wrapText="1"/>
    </xf>
    <xf numFmtId="0" fontId="0" fillId="0" borderId="1" xfId="0" applyBorder="1" applyAlignment="1">
      <alignment/>
    </xf>
    <xf numFmtId="169" fontId="0" fillId="0" borderId="2" xfId="15" applyNumberFormat="1" applyBorder="1" applyAlignment="1">
      <alignment/>
    </xf>
    <xf numFmtId="9" fontId="0" fillId="0" borderId="2" xfId="19" applyBorder="1" applyAlignment="1">
      <alignment/>
    </xf>
    <xf numFmtId="0" fontId="0" fillId="0" borderId="3" xfId="0" applyBorder="1" applyAlignment="1">
      <alignment/>
    </xf>
    <xf numFmtId="169" fontId="0" fillId="0" borderId="4" xfId="15" applyNumberFormat="1" applyBorder="1" applyAlignment="1">
      <alignment/>
    </xf>
    <xf numFmtId="9" fontId="0" fillId="0" borderId="4" xfId="19" applyBorder="1" applyAlignment="1">
      <alignment/>
    </xf>
    <xf numFmtId="0" fontId="0" fillId="0" borderId="5" xfId="0" applyBorder="1" applyAlignment="1">
      <alignment/>
    </xf>
    <xf numFmtId="169" fontId="0" fillId="0" borderId="6" xfId="15" applyNumberFormat="1" applyBorder="1" applyAlignment="1">
      <alignment/>
    </xf>
    <xf numFmtId="9" fontId="0" fillId="0" borderId="6" xfId="19" applyBorder="1" applyAlignment="1">
      <alignment/>
    </xf>
    <xf numFmtId="9" fontId="0" fillId="0" borderId="7" xfId="19" applyBorder="1" applyAlignment="1">
      <alignment/>
    </xf>
    <xf numFmtId="9" fontId="0" fillId="0" borderId="8" xfId="19" applyBorder="1" applyAlignment="1">
      <alignment/>
    </xf>
    <xf numFmtId="0" fontId="1" fillId="0" borderId="0" xfId="0" applyFont="1" applyBorder="1" applyAlignment="1">
      <alignment/>
    </xf>
    <xf numFmtId="0" fontId="0" fillId="0" borderId="0" xfId="0" applyBorder="1" applyAlignment="1">
      <alignment wrapText="1"/>
    </xf>
    <xf numFmtId="9" fontId="0" fillId="0" borderId="7" xfId="0" applyNumberFormat="1" applyBorder="1" applyAlignment="1">
      <alignment/>
    </xf>
    <xf numFmtId="9" fontId="0" fillId="0" borderId="8" xfId="0" applyNumberFormat="1" applyBorder="1" applyAlignment="1">
      <alignment/>
    </xf>
    <xf numFmtId="9" fontId="0" fillId="0" borderId="9" xfId="0" applyNumberFormat="1" applyBorder="1" applyAlignment="1">
      <alignment/>
    </xf>
    <xf numFmtId="0" fontId="3" fillId="0" borderId="0" xfId="0" applyFont="1" applyAlignment="1">
      <alignment/>
    </xf>
    <xf numFmtId="0" fontId="2" fillId="0" borderId="0" xfId="0" applyFont="1" applyAlignment="1">
      <alignment/>
    </xf>
    <xf numFmtId="0" fontId="7" fillId="0" borderId="0" xfId="0" applyFont="1" applyAlignment="1">
      <alignment/>
    </xf>
    <xf numFmtId="0" fontId="7" fillId="0" borderId="0" xfId="0" applyFont="1" applyAlignment="1">
      <alignment/>
    </xf>
    <xf numFmtId="0" fontId="0" fillId="0" borderId="0" xfId="0" applyAlignment="1">
      <alignment horizontal="left" wrapText="1"/>
    </xf>
    <xf numFmtId="0" fontId="0" fillId="0" borderId="0" xfId="0" applyFont="1" applyAlignment="1">
      <alignment horizontal="left" wrapText="1"/>
    </xf>
    <xf numFmtId="0" fontId="8" fillId="0" borderId="0" xfId="0" applyFont="1" applyAlignment="1">
      <alignment/>
    </xf>
    <xf numFmtId="0" fontId="0"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NumberFormat="1" applyFill="1" applyAlignment="1">
      <alignment horizontal="center"/>
    </xf>
    <xf numFmtId="9" fontId="0" fillId="0" borderId="0" xfId="0" applyNumberFormat="1" applyAlignment="1">
      <alignment wrapText="1"/>
    </xf>
    <xf numFmtId="0" fontId="0" fillId="0" borderId="0" xfId="0" applyFont="1" applyAlignment="1">
      <alignment/>
    </xf>
    <xf numFmtId="0" fontId="0" fillId="0" borderId="0" xfId="0" applyAlignment="1">
      <alignment horizontal="left"/>
    </xf>
    <xf numFmtId="0" fontId="0" fillId="0" borderId="0" xfId="0" applyBorder="1" applyAlignment="1">
      <alignment horizontal="center"/>
    </xf>
    <xf numFmtId="9" fontId="0" fillId="0" borderId="0" xfId="0" applyNumberFormat="1" applyBorder="1" applyAlignment="1">
      <alignment horizontal="center" wrapText="1"/>
    </xf>
    <xf numFmtId="9" fontId="0" fillId="0" borderId="0" xfId="0" applyNumberFormat="1" applyAlignment="1">
      <alignment horizontal="center"/>
    </xf>
    <xf numFmtId="0" fontId="0" fillId="2" borderId="0" xfId="0" applyFill="1" applyAlignment="1" applyProtection="1">
      <alignment horizontal="right"/>
      <protection locked="0"/>
    </xf>
    <xf numFmtId="0" fontId="0" fillId="2" borderId="0" xfId="0" applyFill="1" applyAlignment="1" applyProtection="1">
      <alignment horizontal="center"/>
      <protection locked="0"/>
    </xf>
    <xf numFmtId="9" fontId="0" fillId="0" borderId="0" xfId="0" applyNumberFormat="1" applyAlignment="1">
      <alignment horizontal="center" wrapText="1"/>
    </xf>
    <xf numFmtId="0" fontId="9" fillId="0" borderId="0" xfId="0" applyFont="1" applyAlignment="1">
      <alignment/>
    </xf>
    <xf numFmtId="169" fontId="0" fillId="0" borderId="0" xfId="15" applyNumberFormat="1" applyBorder="1" applyAlignment="1">
      <alignment/>
    </xf>
    <xf numFmtId="9" fontId="0" fillId="0" borderId="0" xfId="19" applyBorder="1" applyAlignment="1">
      <alignment/>
    </xf>
    <xf numFmtId="9" fontId="0" fillId="0" borderId="0" xfId="0" applyNumberFormat="1" applyBorder="1" applyAlignment="1">
      <alignment/>
    </xf>
    <xf numFmtId="0" fontId="1" fillId="0" borderId="0" xfId="0" applyFont="1" applyFill="1" applyBorder="1" applyAlignment="1">
      <alignment/>
    </xf>
    <xf numFmtId="0" fontId="1" fillId="0" borderId="2" xfId="0" applyFont="1" applyBorder="1" applyAlignment="1">
      <alignment horizontal="center" wrapText="1"/>
    </xf>
    <xf numFmtId="0" fontId="1" fillId="0" borderId="7" xfId="0" applyFont="1" applyBorder="1" applyAlignment="1">
      <alignment horizontal="center" wrapText="1"/>
    </xf>
    <xf numFmtId="0" fontId="1" fillId="0" borderId="0" xfId="0" applyFont="1" applyAlignment="1">
      <alignment wrapText="1"/>
    </xf>
    <xf numFmtId="0" fontId="0" fillId="2" borderId="0" xfId="0" applyFill="1" applyAlignment="1" applyProtection="1">
      <alignment/>
      <protection locked="0"/>
    </xf>
    <xf numFmtId="9" fontId="0" fillId="2" borderId="0" xfId="19" applyFill="1" applyAlignment="1" applyProtection="1">
      <alignment horizontal="center"/>
      <protection locked="0"/>
    </xf>
    <xf numFmtId="9" fontId="0" fillId="2" borderId="0" xfId="19" applyFill="1" applyAlignment="1" applyProtection="1">
      <alignment/>
      <protection locked="0"/>
    </xf>
    <xf numFmtId="0" fontId="0" fillId="2" borderId="0" xfId="0" applyFont="1" applyFill="1" applyAlignment="1" applyProtection="1">
      <alignment wrapText="1"/>
      <protection locked="0"/>
    </xf>
    <xf numFmtId="0" fontId="0" fillId="2" borderId="0" xfId="0" applyFont="1" applyFill="1" applyAlignment="1" applyProtection="1">
      <alignment/>
      <protection locked="0"/>
    </xf>
    <xf numFmtId="0" fontId="0" fillId="0" borderId="0" xfId="0" applyFont="1" applyAlignment="1">
      <alignment horizontal="right"/>
    </xf>
    <xf numFmtId="9" fontId="0" fillId="0" borderId="0" xfId="19" applyFont="1" applyAlignment="1">
      <alignment/>
    </xf>
    <xf numFmtId="0" fontId="0" fillId="0" borderId="0" xfId="0" applyFont="1" applyBorder="1" applyAlignment="1">
      <alignment wrapText="1"/>
    </xf>
    <xf numFmtId="9" fontId="0" fillId="0" borderId="0" xfId="0" applyNumberFormat="1" applyFont="1" applyAlignment="1">
      <alignment/>
    </xf>
    <xf numFmtId="0" fontId="0" fillId="0" borderId="2" xfId="0" applyFont="1" applyBorder="1" applyAlignment="1">
      <alignment/>
    </xf>
    <xf numFmtId="0" fontId="0" fillId="0" borderId="2" xfId="0" applyFont="1" applyBorder="1" applyAlignment="1">
      <alignment horizontal="center" wrapText="1"/>
    </xf>
    <xf numFmtId="0" fontId="1" fillId="0" borderId="2" xfId="0" applyFont="1" applyBorder="1" applyAlignment="1">
      <alignment/>
    </xf>
    <xf numFmtId="9" fontId="0" fillId="0" borderId="2" xfId="19" applyFont="1" applyBorder="1" applyAlignment="1">
      <alignment/>
    </xf>
    <xf numFmtId="9" fontId="0" fillId="0" borderId="2" xfId="0" applyNumberFormat="1" applyFont="1" applyBorder="1" applyAlignment="1">
      <alignment/>
    </xf>
    <xf numFmtId="0" fontId="5" fillId="0" borderId="2" xfId="0" applyFont="1" applyBorder="1" applyAlignment="1">
      <alignment wrapText="1"/>
    </xf>
    <xf numFmtId="169" fontId="0" fillId="0" borderId="2" xfId="15" applyNumberFormat="1" applyFont="1" applyBorder="1" applyAlignment="1">
      <alignment/>
    </xf>
    <xf numFmtId="167" fontId="0" fillId="0" borderId="2" xfId="19" applyNumberFormat="1" applyFont="1" applyBorder="1" applyAlignment="1">
      <alignment/>
    </xf>
    <xf numFmtId="167" fontId="0" fillId="0" borderId="2" xfId="0" applyNumberFormat="1" applyFont="1" applyBorder="1" applyAlignment="1">
      <alignment/>
    </xf>
    <xf numFmtId="167" fontId="0" fillId="0" borderId="0" xfId="0" applyNumberFormat="1" applyFont="1" applyAlignment="1">
      <alignment/>
    </xf>
    <xf numFmtId="0" fontId="0" fillId="0" borderId="0" xfId="0" applyFill="1" applyAlignment="1" applyProtection="1">
      <alignment horizontal="right"/>
      <protection locked="0"/>
    </xf>
    <xf numFmtId="167" fontId="0" fillId="2" borderId="0" xfId="0" applyNumberFormat="1" applyFill="1" applyAlignment="1" applyProtection="1">
      <alignment/>
      <protection locked="0"/>
    </xf>
    <xf numFmtId="167" fontId="0" fillId="0" borderId="0" xfId="0" applyNumberFormat="1" applyAlignment="1">
      <alignment/>
    </xf>
    <xf numFmtId="167" fontId="0" fillId="0" borderId="0" xfId="0" applyNumberFormat="1" applyFill="1" applyAlignment="1" applyProtection="1">
      <alignment/>
      <protection locked="0"/>
    </xf>
    <xf numFmtId="9" fontId="0" fillId="0" borderId="2" xfId="19" applyNumberFormat="1" applyFont="1" applyBorder="1" applyAlignment="1">
      <alignment/>
    </xf>
    <xf numFmtId="0" fontId="0" fillId="0" borderId="0" xfId="0" applyFill="1" applyAlignment="1">
      <alignment horizontal="center" wrapText="1"/>
    </xf>
    <xf numFmtId="0" fontId="1" fillId="0" borderId="0" xfId="0" applyFont="1" applyBorder="1" applyAlignment="1">
      <alignment/>
    </xf>
    <xf numFmtId="167" fontId="0" fillId="0" borderId="0" xfId="0" applyNumberFormat="1" applyFont="1" applyBorder="1" applyAlignment="1">
      <alignment/>
    </xf>
    <xf numFmtId="9" fontId="0" fillId="0" borderId="0" xfId="19" applyFont="1" applyBorder="1" applyAlignment="1">
      <alignment/>
    </xf>
    <xf numFmtId="167" fontId="0" fillId="0" borderId="0" xfId="19" applyNumberFormat="1" applyFont="1" applyAlignment="1">
      <alignment/>
    </xf>
    <xf numFmtId="0" fontId="0" fillId="0" borderId="2" xfId="0" applyFont="1" applyFill="1" applyBorder="1" applyAlignment="1">
      <alignment horizontal="center" wrapText="1"/>
    </xf>
    <xf numFmtId="0" fontId="10" fillId="0" borderId="0" xfId="0" applyFont="1" applyAlignment="1">
      <alignment/>
    </xf>
    <xf numFmtId="0" fontId="0" fillId="0" borderId="2" xfId="0" applyFont="1" applyBorder="1" applyAlignment="1">
      <alignment wrapText="1"/>
    </xf>
    <xf numFmtId="9" fontId="0" fillId="0" borderId="2" xfId="0" applyNumberFormat="1" applyFont="1" applyFill="1" applyBorder="1" applyAlignment="1">
      <alignment/>
    </xf>
    <xf numFmtId="0" fontId="5" fillId="0" borderId="0" xfId="0" applyFont="1" applyFill="1" applyBorder="1" applyAlignment="1">
      <alignment/>
    </xf>
    <xf numFmtId="0" fontId="0" fillId="0" borderId="0" xfId="0" applyFont="1" applyBorder="1" applyAlignment="1">
      <alignment/>
    </xf>
    <xf numFmtId="0" fontId="0" fillId="0" borderId="2" xfId="0" applyFont="1" applyBorder="1" applyAlignment="1">
      <alignment horizontal="center"/>
    </xf>
    <xf numFmtId="9" fontId="0" fillId="0" borderId="0" xfId="0" applyNumberFormat="1" applyFont="1" applyBorder="1" applyAlignment="1">
      <alignment/>
    </xf>
    <xf numFmtId="9" fontId="0" fillId="0" borderId="0" xfId="0" applyNumberFormat="1" applyFont="1" applyFill="1" applyBorder="1" applyAlignment="1">
      <alignment/>
    </xf>
    <xf numFmtId="0" fontId="1" fillId="0" borderId="10" xfId="0" applyFont="1" applyBorder="1" applyAlignment="1">
      <alignment wrapText="1"/>
    </xf>
    <xf numFmtId="9" fontId="0" fillId="0" borderId="0" xfId="19" applyFill="1" applyAlignment="1" applyProtection="1">
      <alignment/>
      <protection locked="0"/>
    </xf>
    <xf numFmtId="0" fontId="0" fillId="0" borderId="0" xfId="0" applyFill="1" applyAlignment="1" applyProtection="1">
      <alignment horizontal="center"/>
      <protection locked="0"/>
    </xf>
    <xf numFmtId="0" fontId="1" fillId="3" borderId="11" xfId="0" applyFont="1" applyFill="1" applyBorder="1" applyAlignment="1">
      <alignment horizontal="center" wrapText="1"/>
    </xf>
    <xf numFmtId="0" fontId="1" fillId="3" borderId="12" xfId="0" applyFont="1" applyFill="1" applyBorder="1" applyAlignment="1">
      <alignment horizontal="center" wrapText="1"/>
    </xf>
    <xf numFmtId="0" fontId="1" fillId="3" borderId="13" xfId="0" applyFont="1" applyFill="1" applyBorder="1" applyAlignment="1">
      <alignment horizontal="center" wrapText="1"/>
    </xf>
    <xf numFmtId="169" fontId="0" fillId="3" borderId="14" xfId="15" applyNumberFormat="1" applyFill="1" applyBorder="1" applyAlignment="1">
      <alignment/>
    </xf>
    <xf numFmtId="9" fontId="0" fillId="3" borderId="0" xfId="19" applyFill="1" applyBorder="1" applyAlignment="1">
      <alignment/>
    </xf>
    <xf numFmtId="169" fontId="0" fillId="3" borderId="0" xfId="15" applyNumberFormat="1" applyFill="1" applyBorder="1" applyAlignment="1">
      <alignment/>
    </xf>
    <xf numFmtId="9" fontId="0" fillId="3" borderId="15" xfId="19" applyFill="1" applyBorder="1" applyAlignment="1">
      <alignment/>
    </xf>
    <xf numFmtId="169" fontId="0" fillId="3" borderId="16" xfId="15" applyNumberFormat="1" applyFill="1" applyBorder="1" applyAlignment="1">
      <alignment/>
    </xf>
    <xf numFmtId="9" fontId="0" fillId="3" borderId="17" xfId="19" applyFill="1" applyBorder="1" applyAlignment="1">
      <alignment/>
    </xf>
    <xf numFmtId="169" fontId="0" fillId="3" borderId="17" xfId="15" applyNumberFormat="1" applyFill="1" applyBorder="1" applyAlignment="1">
      <alignment/>
    </xf>
    <xf numFmtId="9" fontId="0" fillId="3" borderId="18" xfId="19" applyFill="1" applyBorder="1" applyAlignment="1">
      <alignment/>
    </xf>
    <xf numFmtId="9" fontId="11" fillId="0" borderId="19" xfId="0" applyNumberFormat="1" applyFont="1" applyBorder="1" applyAlignment="1">
      <alignment horizontal="center" vertical="center"/>
    </xf>
    <xf numFmtId="9" fontId="11" fillId="0" borderId="20" xfId="0" applyNumberFormat="1" applyFont="1" applyBorder="1" applyAlignment="1">
      <alignment horizontal="center" vertical="center"/>
    </xf>
    <xf numFmtId="9" fontId="11" fillId="0" borderId="2" xfId="0" applyNumberFormat="1" applyFont="1" applyBorder="1" applyAlignment="1">
      <alignment horizontal="center" vertical="center"/>
    </xf>
    <xf numFmtId="9" fontId="11" fillId="0" borderId="7" xfId="0" applyNumberFormat="1" applyFont="1" applyBorder="1" applyAlignment="1">
      <alignment horizontal="center" vertical="center"/>
    </xf>
    <xf numFmtId="9" fontId="11" fillId="0" borderId="21" xfId="0" applyNumberFormat="1" applyFont="1" applyBorder="1" applyAlignment="1">
      <alignment horizontal="center" vertical="center"/>
    </xf>
    <xf numFmtId="9" fontId="11" fillId="0" borderId="22" xfId="0" applyNumberFormat="1"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0" fontId="0" fillId="0" borderId="25" xfId="0" applyBorder="1" applyAlignment="1">
      <alignment vertical="center"/>
    </xf>
    <xf numFmtId="0" fontId="0" fillId="0" borderId="23" xfId="0" applyBorder="1" applyAlignment="1">
      <alignment vertical="center" wrapText="1"/>
    </xf>
    <xf numFmtId="9" fontId="0" fillId="0" borderId="0" xfId="0" applyNumberFormat="1" applyFont="1" applyBorder="1" applyAlignment="1">
      <alignment vertical="center"/>
    </xf>
    <xf numFmtId="9"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0" fillId="0" borderId="0" xfId="0" applyFont="1" applyFill="1" applyAlignment="1">
      <alignment/>
    </xf>
    <xf numFmtId="9" fontId="0" fillId="0" borderId="0" xfId="0" applyNumberFormat="1" applyFont="1" applyBorder="1" applyAlignment="1">
      <alignment horizontal="left" vertical="center" wrapText="1"/>
    </xf>
    <xf numFmtId="0" fontId="0" fillId="0" borderId="0" xfId="0" applyFill="1" applyAlignment="1" applyProtection="1">
      <alignment/>
      <protection locked="0"/>
    </xf>
    <xf numFmtId="9" fontId="0" fillId="0" borderId="0" xfId="19" applyFill="1" applyAlignment="1" applyProtection="1">
      <alignment horizontal="center"/>
      <protection locked="0"/>
    </xf>
    <xf numFmtId="9" fontId="0" fillId="0" borderId="0" xfId="0" applyNumberFormat="1" applyFill="1" applyBorder="1" applyAlignment="1">
      <alignment horizontal="center" wrapText="1"/>
    </xf>
    <xf numFmtId="167" fontId="0" fillId="0" borderId="0" xfId="0" applyNumberFormat="1" applyFont="1" applyAlignment="1" quotePrefix="1">
      <alignment/>
    </xf>
    <xf numFmtId="0" fontId="0" fillId="0" borderId="0" xfId="0" applyFont="1" applyBorder="1" applyAlignment="1">
      <alignment horizontal="center" wrapText="1"/>
    </xf>
    <xf numFmtId="9" fontId="0" fillId="0" borderId="0" xfId="0" applyNumberFormat="1" applyFill="1" applyAlignment="1">
      <alignment horizontal="center"/>
    </xf>
    <xf numFmtId="0" fontId="0" fillId="0" borderId="0" xfId="0" applyFill="1" applyAlignment="1" applyProtection="1">
      <alignment horizontal="center" wrapText="1"/>
      <protection locked="0"/>
    </xf>
    <xf numFmtId="0" fontId="0" fillId="0" borderId="0" xfId="0" applyFill="1" applyAlignment="1">
      <alignment/>
    </xf>
    <xf numFmtId="0" fontId="0" fillId="0" borderId="0" xfId="0" applyFill="1" applyAlignment="1">
      <alignment wrapText="1"/>
    </xf>
    <xf numFmtId="0" fontId="0" fillId="0" borderId="26" xfId="0" applyBorder="1" applyAlignment="1">
      <alignment/>
    </xf>
    <xf numFmtId="169" fontId="0" fillId="0" borderId="26" xfId="15" applyNumberFormat="1" applyFill="1" applyBorder="1" applyAlignment="1">
      <alignment/>
    </xf>
    <xf numFmtId="9" fontId="0" fillId="0" borderId="26" xfId="19" applyFill="1" applyBorder="1" applyAlignment="1">
      <alignment/>
    </xf>
    <xf numFmtId="0" fontId="1" fillId="0" borderId="27" xfId="0" applyFont="1" applyBorder="1" applyAlignment="1">
      <alignment horizontal="center" wrapText="1"/>
    </xf>
    <xf numFmtId="9" fontId="0" fillId="3" borderId="18" xfId="0" applyNumberFormat="1" applyFill="1" applyBorder="1" applyAlignment="1">
      <alignment/>
    </xf>
    <xf numFmtId="0" fontId="0" fillId="0" borderId="28" xfId="0" applyBorder="1" applyAlignment="1">
      <alignment/>
    </xf>
    <xf numFmtId="169" fontId="0" fillId="0" borderId="29" xfId="15" applyNumberFormat="1" applyBorder="1" applyAlignment="1">
      <alignment/>
    </xf>
    <xf numFmtId="9" fontId="0" fillId="0" borderId="29" xfId="19" applyBorder="1" applyAlignment="1">
      <alignment/>
    </xf>
    <xf numFmtId="9" fontId="0" fillId="0" borderId="30" xfId="19" applyBorder="1" applyAlignment="1">
      <alignment/>
    </xf>
    <xf numFmtId="0" fontId="0" fillId="0" borderId="25" xfId="0" applyFill="1" applyBorder="1" applyAlignment="1">
      <alignment vertical="center"/>
    </xf>
    <xf numFmtId="0" fontId="0" fillId="0" borderId="25" xfId="0" applyFont="1" applyBorder="1" applyAlignment="1">
      <alignment vertical="center" wrapText="1"/>
    </xf>
    <xf numFmtId="9" fontId="10" fillId="0" borderId="12" xfId="0" applyNumberFormat="1" applyFont="1" applyBorder="1" applyAlignment="1">
      <alignment horizontal="center" vertical="center" wrapText="1"/>
    </xf>
    <xf numFmtId="9" fontId="10" fillId="0" borderId="13" xfId="0" applyNumberFormat="1" applyFont="1" applyBorder="1" applyAlignment="1">
      <alignment horizontal="center" vertical="center" wrapText="1"/>
    </xf>
    <xf numFmtId="0" fontId="0" fillId="0" borderId="5" xfId="0" applyFill="1" applyBorder="1" applyAlignment="1">
      <alignment/>
    </xf>
    <xf numFmtId="9" fontId="0" fillId="0" borderId="6" xfId="0" applyNumberFormat="1" applyBorder="1" applyAlignment="1">
      <alignment/>
    </xf>
    <xf numFmtId="169" fontId="0" fillId="0" borderId="6" xfId="0" applyNumberFormat="1" applyBorder="1" applyAlignment="1">
      <alignment/>
    </xf>
    <xf numFmtId="0" fontId="0" fillId="0" borderId="6" xfId="0" applyBorder="1" applyAlignment="1">
      <alignment horizontal="center"/>
    </xf>
    <xf numFmtId="169" fontId="0" fillId="0" borderId="0" xfId="15" applyNumberFormat="1" applyFill="1" applyBorder="1" applyAlignment="1">
      <alignment/>
    </xf>
    <xf numFmtId="9" fontId="0" fillId="0" borderId="0" xfId="0" applyNumberFormat="1" applyFill="1" applyBorder="1" applyAlignment="1">
      <alignment/>
    </xf>
    <xf numFmtId="0" fontId="1" fillId="0" borderId="0" xfId="0" applyFont="1" applyAlignment="1">
      <alignment horizontal="left"/>
    </xf>
    <xf numFmtId="0" fontId="1" fillId="0" borderId="0" xfId="0" applyFont="1" applyFill="1" applyAlignment="1">
      <alignment horizontal="left"/>
    </xf>
    <xf numFmtId="0" fontId="1" fillId="0" borderId="0" xfId="0" applyFont="1" applyAlignment="1">
      <alignment horizontal="left" vertical="top"/>
    </xf>
    <xf numFmtId="0" fontId="1" fillId="0" borderId="0" xfId="0" applyFont="1" applyAlignment="1">
      <alignment horizontal="right"/>
    </xf>
    <xf numFmtId="167" fontId="0" fillId="0" borderId="2" xfId="0" applyNumberFormat="1" applyFont="1" applyFill="1" applyBorder="1" applyAlignment="1">
      <alignment/>
    </xf>
    <xf numFmtId="178" fontId="1" fillId="0" borderId="0" xfId="0" applyNumberFormat="1" applyFont="1" applyAlignment="1">
      <alignment horizontal="left"/>
    </xf>
    <xf numFmtId="10" fontId="0" fillId="2" borderId="0" xfId="19" applyNumberFormat="1" applyFill="1" applyAlignment="1" applyProtection="1">
      <alignment horizontal="center"/>
      <protection locked="0"/>
    </xf>
    <xf numFmtId="0" fontId="0" fillId="0" borderId="0" xfId="0" applyFill="1" applyBorder="1" applyAlignment="1">
      <alignment horizontal="left" wrapText="1"/>
    </xf>
    <xf numFmtId="0" fontId="0" fillId="0" borderId="0" xfId="0" applyFont="1" applyFill="1" applyBorder="1" applyAlignment="1">
      <alignment horizontal="center" wrapText="1"/>
    </xf>
    <xf numFmtId="167" fontId="0" fillId="0" borderId="0" xfId="0" applyNumberFormat="1" applyFont="1" applyFill="1" applyBorder="1" applyAlignment="1">
      <alignment/>
    </xf>
    <xf numFmtId="9" fontId="8" fillId="0" borderId="0" xfId="0" applyNumberFormat="1" applyFont="1" applyAlignment="1">
      <alignment/>
    </xf>
    <xf numFmtId="0" fontId="13" fillId="0" borderId="0" xfId="0" applyFont="1" applyAlignment="1">
      <alignment/>
    </xf>
    <xf numFmtId="0" fontId="13" fillId="0" borderId="0" xfId="0" applyFont="1" applyAlignment="1">
      <alignment horizontal="center"/>
    </xf>
    <xf numFmtId="0" fontId="3" fillId="0" borderId="0" xfId="0" applyFont="1" applyAlignment="1">
      <alignment horizontal="right"/>
    </xf>
    <xf numFmtId="17" fontId="3" fillId="0" borderId="0" xfId="0" applyNumberFormat="1" applyFont="1" applyAlignment="1" quotePrefix="1">
      <alignment horizontal="center"/>
    </xf>
    <xf numFmtId="0" fontId="4" fillId="0" borderId="31" xfId="0" applyFont="1" applyFill="1" applyBorder="1" applyAlignment="1">
      <alignment horizontal="left" wrapText="1"/>
    </xf>
    <xf numFmtId="0" fontId="8" fillId="0" borderId="0" xfId="0" applyFont="1" applyAlignment="1">
      <alignment horizontal="left" wrapText="1"/>
    </xf>
    <xf numFmtId="0" fontId="0" fillId="0" borderId="0" xfId="0" applyFont="1" applyAlignment="1">
      <alignment horizontal="left"/>
    </xf>
    <xf numFmtId="0" fontId="0" fillId="0" borderId="0" xfId="0" applyFill="1" applyAlignment="1">
      <alignment horizontal="left" wrapText="1"/>
    </xf>
    <xf numFmtId="0" fontId="1" fillId="0" borderId="32" xfId="0" applyFont="1" applyBorder="1" applyAlignment="1">
      <alignment horizontal="center"/>
    </xf>
    <xf numFmtId="0" fontId="1" fillId="0" borderId="31" xfId="0" applyFont="1" applyBorder="1" applyAlignment="1">
      <alignment horizontal="center"/>
    </xf>
    <xf numFmtId="0" fontId="1" fillId="0" borderId="33" xfId="0" applyFont="1" applyBorder="1" applyAlignment="1">
      <alignment horizontal="center"/>
    </xf>
    <xf numFmtId="0" fontId="0" fillId="0" borderId="25" xfId="0" applyBorder="1" applyAlignment="1">
      <alignment vertical="center"/>
    </xf>
    <xf numFmtId="0" fontId="0" fillId="0" borderId="23" xfId="0" applyBorder="1" applyAlignment="1">
      <alignment vertical="center"/>
    </xf>
    <xf numFmtId="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0" fillId="0" borderId="15" xfId="0" applyFont="1" applyBorder="1" applyAlignment="1">
      <alignment horizontal="left" vertical="center"/>
    </xf>
    <xf numFmtId="9" fontId="0" fillId="0" borderId="0" xfId="0" applyNumberFormat="1" applyFont="1" applyBorder="1" applyAlignment="1">
      <alignment horizontal="left" vertical="center"/>
    </xf>
    <xf numFmtId="9" fontId="0" fillId="0" borderId="34" xfId="0" applyNumberFormat="1" applyFont="1" applyBorder="1" applyAlignment="1">
      <alignment horizontal="left" vertical="center"/>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4" xfId="0" applyFont="1" applyBorder="1" applyAlignment="1">
      <alignment horizontal="center" wrapText="1"/>
    </xf>
    <xf numFmtId="0" fontId="0" fillId="0" borderId="34" xfId="0" applyFont="1" applyBorder="1" applyAlignment="1">
      <alignment horizont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0" xfId="0" applyAlignment="1">
      <alignment horizontal="left" wrapText="1"/>
    </xf>
    <xf numFmtId="0" fontId="0" fillId="0" borderId="36" xfId="0" applyBorder="1" applyAlignment="1">
      <alignment horizontal="left" vertical="center"/>
    </xf>
    <xf numFmtId="0" fontId="0" fillId="0" borderId="22" xfId="0" applyBorder="1" applyAlignment="1">
      <alignment horizontal="left" vertical="center"/>
    </xf>
    <xf numFmtId="9" fontId="0" fillId="0" borderId="36" xfId="0" applyNumberFormat="1" applyFont="1" applyBorder="1" applyAlignment="1">
      <alignment horizontal="left" vertical="center" wrapText="1"/>
    </xf>
    <xf numFmtId="9" fontId="0" fillId="0" borderId="22"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9" fontId="0" fillId="0" borderId="21" xfId="0" applyNumberFormat="1" applyFont="1" applyBorder="1" applyAlignment="1">
      <alignment horizontal="left" vertical="center"/>
    </xf>
    <xf numFmtId="9" fontId="0" fillId="0" borderId="34" xfId="0" applyNumberFormat="1" applyFont="1" applyBorder="1" applyAlignment="1">
      <alignment horizontal="left" vertical="center" wrapText="1"/>
    </xf>
    <xf numFmtId="0" fontId="0" fillId="0" borderId="0" xfId="0" applyFont="1" applyAlignment="1">
      <alignment horizontal="left" wrapText="1"/>
    </xf>
    <xf numFmtId="0" fontId="10" fillId="0" borderId="0" xfId="0" applyFont="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center"/>
    </xf>
    <xf numFmtId="0" fontId="3" fillId="0" borderId="0" xfId="0" applyFont="1" applyAlignment="1">
      <alignment horizontal="center"/>
    </xf>
    <xf numFmtId="0" fontId="6" fillId="0" borderId="0" xfId="0"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0</xdr:rowOff>
    </xdr:from>
    <xdr:to>
      <xdr:col>2</xdr:col>
      <xdr:colOff>0</xdr:colOff>
      <xdr:row>4</xdr:row>
      <xdr:rowOff>9525</xdr:rowOff>
    </xdr:to>
    <xdr:pic>
      <xdr:nvPicPr>
        <xdr:cNvPr id="1" name="Picture 2"/>
        <xdr:cNvPicPr preferRelativeResize="1">
          <a:picLocks noChangeAspect="1"/>
        </xdr:cNvPicPr>
      </xdr:nvPicPr>
      <xdr:blipFill>
        <a:blip r:embed="rId1"/>
        <a:stretch>
          <a:fillRect/>
        </a:stretch>
      </xdr:blipFill>
      <xdr:spPr>
        <a:xfrm>
          <a:off x="28575" y="0"/>
          <a:ext cx="781050" cy="838200"/>
        </a:xfrm>
        <a:prstGeom prst="rect">
          <a:avLst/>
        </a:prstGeom>
        <a:noFill/>
        <a:ln w="9525" cmpd="sng">
          <a:noFill/>
        </a:ln>
      </xdr:spPr>
    </xdr:pic>
    <xdr:clientData/>
  </xdr:twoCellAnchor>
  <xdr:twoCellAnchor>
    <xdr:from>
      <xdr:col>8</xdr:col>
      <xdr:colOff>0</xdr:colOff>
      <xdr:row>0</xdr:row>
      <xdr:rowOff>0</xdr:rowOff>
    </xdr:from>
    <xdr:to>
      <xdr:col>8</xdr:col>
      <xdr:colOff>847725</xdr:colOff>
      <xdr:row>4</xdr:row>
      <xdr:rowOff>0</xdr:rowOff>
    </xdr:to>
    <xdr:pic>
      <xdr:nvPicPr>
        <xdr:cNvPr id="2" name="Picture 87"/>
        <xdr:cNvPicPr preferRelativeResize="1">
          <a:picLocks noChangeAspect="1"/>
        </xdr:cNvPicPr>
      </xdr:nvPicPr>
      <xdr:blipFill>
        <a:blip r:embed="rId2"/>
        <a:stretch>
          <a:fillRect/>
        </a:stretch>
      </xdr:blipFill>
      <xdr:spPr>
        <a:xfrm>
          <a:off x="7277100" y="0"/>
          <a:ext cx="84772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311</xdr:row>
      <xdr:rowOff>0</xdr:rowOff>
    </xdr:from>
    <xdr:to>
      <xdr:col>3</xdr:col>
      <xdr:colOff>209550</xdr:colOff>
      <xdr:row>311</xdr:row>
      <xdr:rowOff>142875</xdr:rowOff>
    </xdr:to>
    <xdr:pic>
      <xdr:nvPicPr>
        <xdr:cNvPr id="1" name="Picture 1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0" y="0"/>
          <a:ext cx="3286125" cy="0"/>
        </a:xfrm>
        <a:prstGeom prst="rect">
          <a:avLst/>
        </a:prstGeom>
        <a:noFill/>
        <a:ln w="9525" cmpd="sng">
          <a:noFill/>
        </a:ln>
      </xdr:spPr>
    </xdr:pic>
    <xdr:clientData/>
  </xdr:twoCellAnchor>
  <xdr:twoCellAnchor>
    <xdr:from>
      <xdr:col>0</xdr:col>
      <xdr:colOff>0</xdr:colOff>
      <xdr:row>312</xdr:row>
      <xdr:rowOff>0</xdr:rowOff>
    </xdr:from>
    <xdr:to>
      <xdr:col>3</xdr:col>
      <xdr:colOff>390525</xdr:colOff>
      <xdr:row>312</xdr:row>
      <xdr:rowOff>142875</xdr:rowOff>
    </xdr:to>
    <xdr:pic>
      <xdr:nvPicPr>
        <xdr:cNvPr id="2" name="Picture 1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0" y="0"/>
          <a:ext cx="3467100" cy="0"/>
        </a:xfrm>
        <a:prstGeom prst="rect">
          <a:avLst/>
        </a:prstGeom>
        <a:noFill/>
        <a:ln w="9525" cmpd="sng">
          <a:noFill/>
        </a:ln>
      </xdr:spPr>
    </xdr:pic>
    <xdr:clientData/>
  </xdr:twoCellAnchor>
  <xdr:twoCellAnchor>
    <xdr:from>
      <xdr:col>0</xdr:col>
      <xdr:colOff>0</xdr:colOff>
      <xdr:row>315</xdr:row>
      <xdr:rowOff>0</xdr:rowOff>
    </xdr:from>
    <xdr:to>
      <xdr:col>5</xdr:col>
      <xdr:colOff>695325</xdr:colOff>
      <xdr:row>315</xdr:row>
      <xdr:rowOff>152400</xdr:rowOff>
    </xdr:to>
    <xdr:pic>
      <xdr:nvPicPr>
        <xdr:cNvPr id="3" name="Picture 11"/>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0" y="0"/>
          <a:ext cx="5562600" cy="0"/>
        </a:xfrm>
        <a:prstGeom prst="rect">
          <a:avLst/>
        </a:prstGeom>
        <a:noFill/>
        <a:ln w="9525" cmpd="sng">
          <a:noFill/>
        </a:ln>
      </xdr:spPr>
    </xdr:pic>
    <xdr:clientData/>
  </xdr:twoCellAnchor>
  <xdr:twoCellAnchor>
    <xdr:from>
      <xdr:col>0</xdr:col>
      <xdr:colOff>0</xdr:colOff>
      <xdr:row>318</xdr:row>
      <xdr:rowOff>0</xdr:rowOff>
    </xdr:from>
    <xdr:to>
      <xdr:col>2</xdr:col>
      <xdr:colOff>600075</xdr:colOff>
      <xdr:row>318</xdr:row>
      <xdr:rowOff>142875</xdr:rowOff>
    </xdr:to>
    <xdr:pic>
      <xdr:nvPicPr>
        <xdr:cNvPr id="4" name="Picture 10"/>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0" y="0"/>
          <a:ext cx="2733675" cy="0"/>
        </a:xfrm>
        <a:prstGeom prst="rect">
          <a:avLst/>
        </a:prstGeom>
        <a:noFill/>
        <a:ln w="9525" cmpd="sng">
          <a:noFill/>
        </a:ln>
      </xdr:spPr>
    </xdr:pic>
    <xdr:clientData/>
  </xdr:twoCellAnchor>
  <xdr:twoCellAnchor>
    <xdr:from>
      <xdr:col>0</xdr:col>
      <xdr:colOff>0</xdr:colOff>
      <xdr:row>321</xdr:row>
      <xdr:rowOff>0</xdr:rowOff>
    </xdr:from>
    <xdr:to>
      <xdr:col>4</xdr:col>
      <xdr:colOff>714375</xdr:colOff>
      <xdr:row>321</xdr:row>
      <xdr:rowOff>142875</xdr:rowOff>
    </xdr:to>
    <xdr:pic>
      <xdr:nvPicPr>
        <xdr:cNvPr id="5" name="Picture 9"/>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0" y="0"/>
          <a:ext cx="4810125" cy="0"/>
        </a:xfrm>
        <a:prstGeom prst="rect">
          <a:avLst/>
        </a:prstGeom>
        <a:noFill/>
        <a:ln w="9525" cmpd="sng">
          <a:noFill/>
        </a:ln>
      </xdr:spPr>
    </xdr:pic>
    <xdr:clientData/>
  </xdr:twoCellAnchor>
  <xdr:twoCellAnchor>
    <xdr:from>
      <xdr:col>0</xdr:col>
      <xdr:colOff>0</xdr:colOff>
      <xdr:row>322</xdr:row>
      <xdr:rowOff>0</xdr:rowOff>
    </xdr:from>
    <xdr:to>
      <xdr:col>5</xdr:col>
      <xdr:colOff>676275</xdr:colOff>
      <xdr:row>322</xdr:row>
      <xdr:rowOff>142875</xdr:rowOff>
    </xdr:to>
    <xdr:pic>
      <xdr:nvPicPr>
        <xdr:cNvPr id="6" name="Picture 8"/>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0" y="0"/>
          <a:ext cx="5543550" cy="0"/>
        </a:xfrm>
        <a:prstGeom prst="rect">
          <a:avLst/>
        </a:prstGeom>
        <a:noFill/>
        <a:ln w="9525" cmpd="sng">
          <a:noFill/>
        </a:ln>
      </xdr:spPr>
    </xdr:pic>
    <xdr:clientData/>
  </xdr:twoCellAnchor>
  <xdr:twoCellAnchor>
    <xdr:from>
      <xdr:col>0</xdr:col>
      <xdr:colOff>0</xdr:colOff>
      <xdr:row>323</xdr:row>
      <xdr:rowOff>0</xdr:rowOff>
    </xdr:from>
    <xdr:to>
      <xdr:col>3</xdr:col>
      <xdr:colOff>885825</xdr:colOff>
      <xdr:row>323</xdr:row>
      <xdr:rowOff>142875</xdr:rowOff>
    </xdr:to>
    <xdr:pic>
      <xdr:nvPicPr>
        <xdr:cNvPr id="7" name="Picture 7"/>
        <xdr:cNvPicPr preferRelativeResize="1">
          <a:picLocks noChangeAspect="1"/>
        </xdr:cNvPicPr>
      </xdr:nvPicPr>
      <xdr:blipFill>
        <a:blip r:embed="rId7">
          <a:clrChange>
            <a:clrFrom>
              <a:srgbClr val="FFFFFF"/>
            </a:clrFrom>
            <a:clrTo>
              <a:srgbClr val="FFFFFF">
                <a:alpha val="0"/>
              </a:srgbClr>
            </a:clrTo>
          </a:clrChange>
        </a:blip>
        <a:stretch>
          <a:fillRect/>
        </a:stretch>
      </xdr:blipFill>
      <xdr:spPr>
        <a:xfrm>
          <a:off x="0" y="0"/>
          <a:ext cx="3962400" cy="0"/>
        </a:xfrm>
        <a:prstGeom prst="rect">
          <a:avLst/>
        </a:prstGeom>
        <a:noFill/>
        <a:ln w="9525" cmpd="sng">
          <a:noFill/>
        </a:ln>
      </xdr:spPr>
    </xdr:pic>
    <xdr:clientData/>
  </xdr:twoCellAnchor>
  <xdr:twoCellAnchor>
    <xdr:from>
      <xdr:col>0</xdr:col>
      <xdr:colOff>0</xdr:colOff>
      <xdr:row>326</xdr:row>
      <xdr:rowOff>0</xdr:rowOff>
    </xdr:from>
    <xdr:to>
      <xdr:col>7</xdr:col>
      <xdr:colOff>809625</xdr:colOff>
      <xdr:row>327</xdr:row>
      <xdr:rowOff>57150</xdr:rowOff>
    </xdr:to>
    <xdr:pic>
      <xdr:nvPicPr>
        <xdr:cNvPr id="8" name="Picture 6"/>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0" y="0"/>
          <a:ext cx="7277100" cy="0"/>
        </a:xfrm>
        <a:prstGeom prst="rect">
          <a:avLst/>
        </a:prstGeom>
        <a:noFill/>
        <a:ln w="9525" cmpd="sng">
          <a:noFill/>
        </a:ln>
      </xdr:spPr>
    </xdr:pic>
    <xdr:clientData/>
  </xdr:twoCellAnchor>
  <xdr:twoCellAnchor>
    <xdr:from>
      <xdr:col>0</xdr:col>
      <xdr:colOff>0</xdr:colOff>
      <xdr:row>329</xdr:row>
      <xdr:rowOff>0</xdr:rowOff>
    </xdr:from>
    <xdr:to>
      <xdr:col>3</xdr:col>
      <xdr:colOff>695325</xdr:colOff>
      <xdr:row>331</xdr:row>
      <xdr:rowOff>9525</xdr:rowOff>
    </xdr:to>
    <xdr:pic>
      <xdr:nvPicPr>
        <xdr:cNvPr id="9" name="Picture 5"/>
        <xdr:cNvPicPr preferRelativeResize="1">
          <a:picLocks noChangeAspect="1"/>
        </xdr:cNvPicPr>
      </xdr:nvPicPr>
      <xdr:blipFill>
        <a:blip r:embed="rId9">
          <a:clrChange>
            <a:clrFrom>
              <a:srgbClr val="FFFFFF"/>
            </a:clrFrom>
            <a:clrTo>
              <a:srgbClr val="FFFFFF">
                <a:alpha val="0"/>
              </a:srgbClr>
            </a:clrTo>
          </a:clrChange>
        </a:blip>
        <a:stretch>
          <a:fillRect/>
        </a:stretch>
      </xdr:blipFill>
      <xdr:spPr>
        <a:xfrm>
          <a:off x="0" y="0"/>
          <a:ext cx="3771900" cy="0"/>
        </a:xfrm>
        <a:prstGeom prst="rect">
          <a:avLst/>
        </a:prstGeom>
        <a:noFill/>
        <a:ln w="9525" cmpd="sng">
          <a:noFill/>
        </a:ln>
      </xdr:spPr>
    </xdr:pic>
    <xdr:clientData/>
  </xdr:twoCellAnchor>
  <xdr:twoCellAnchor>
    <xdr:from>
      <xdr:col>0</xdr:col>
      <xdr:colOff>0</xdr:colOff>
      <xdr:row>333</xdr:row>
      <xdr:rowOff>0</xdr:rowOff>
    </xdr:from>
    <xdr:to>
      <xdr:col>4</xdr:col>
      <xdr:colOff>609600</xdr:colOff>
      <xdr:row>334</xdr:row>
      <xdr:rowOff>171450</xdr:rowOff>
    </xdr:to>
    <xdr:pic>
      <xdr:nvPicPr>
        <xdr:cNvPr id="10" name="Picture 4"/>
        <xdr:cNvPicPr preferRelativeResize="1">
          <a:picLocks noChangeAspect="1"/>
        </xdr:cNvPicPr>
      </xdr:nvPicPr>
      <xdr:blipFill>
        <a:blip r:embed="rId10">
          <a:clrChange>
            <a:clrFrom>
              <a:srgbClr val="FFFFFF"/>
            </a:clrFrom>
            <a:clrTo>
              <a:srgbClr val="FFFFFF">
                <a:alpha val="0"/>
              </a:srgbClr>
            </a:clrTo>
          </a:clrChange>
        </a:blip>
        <a:stretch>
          <a:fillRect/>
        </a:stretch>
      </xdr:blipFill>
      <xdr:spPr>
        <a:xfrm>
          <a:off x="0" y="0"/>
          <a:ext cx="4705350" cy="0"/>
        </a:xfrm>
        <a:prstGeom prst="rect">
          <a:avLst/>
        </a:prstGeom>
        <a:noFill/>
        <a:ln w="9525" cmpd="sng">
          <a:noFill/>
        </a:ln>
      </xdr:spPr>
    </xdr:pic>
    <xdr:clientData/>
  </xdr:twoCellAnchor>
  <xdr:twoCellAnchor>
    <xdr:from>
      <xdr:col>0</xdr:col>
      <xdr:colOff>0</xdr:colOff>
      <xdr:row>337</xdr:row>
      <xdr:rowOff>0</xdr:rowOff>
    </xdr:from>
    <xdr:to>
      <xdr:col>3</xdr:col>
      <xdr:colOff>266700</xdr:colOff>
      <xdr:row>337</xdr:row>
      <xdr:rowOff>142875</xdr:rowOff>
    </xdr:to>
    <xdr:pic>
      <xdr:nvPicPr>
        <xdr:cNvPr id="11" name="Picture 3"/>
        <xdr:cNvPicPr preferRelativeResize="1">
          <a:picLocks noChangeAspect="1"/>
        </xdr:cNvPicPr>
      </xdr:nvPicPr>
      <xdr:blipFill>
        <a:blip r:embed="rId11">
          <a:clrChange>
            <a:clrFrom>
              <a:srgbClr val="FFFFFF"/>
            </a:clrFrom>
            <a:clrTo>
              <a:srgbClr val="FFFFFF">
                <a:alpha val="0"/>
              </a:srgbClr>
            </a:clrTo>
          </a:clrChange>
        </a:blip>
        <a:stretch>
          <a:fillRect/>
        </a:stretch>
      </xdr:blipFill>
      <xdr:spPr>
        <a:xfrm>
          <a:off x="0" y="0"/>
          <a:ext cx="3343275" cy="0"/>
        </a:xfrm>
        <a:prstGeom prst="rect">
          <a:avLst/>
        </a:prstGeom>
        <a:noFill/>
        <a:ln w="9525" cmpd="sng">
          <a:noFill/>
        </a:ln>
      </xdr:spPr>
    </xdr:pic>
    <xdr:clientData/>
  </xdr:twoCellAnchor>
  <xdr:twoCellAnchor>
    <xdr:from>
      <xdr:col>0</xdr:col>
      <xdr:colOff>0</xdr:colOff>
      <xdr:row>338</xdr:row>
      <xdr:rowOff>0</xdr:rowOff>
    </xdr:from>
    <xdr:to>
      <xdr:col>3</xdr:col>
      <xdr:colOff>447675</xdr:colOff>
      <xdr:row>338</xdr:row>
      <xdr:rowOff>142875</xdr:rowOff>
    </xdr:to>
    <xdr:pic>
      <xdr:nvPicPr>
        <xdr:cNvPr id="12" name="Picture 2"/>
        <xdr:cNvPicPr preferRelativeResize="1">
          <a:picLocks noChangeAspect="1"/>
        </xdr:cNvPicPr>
      </xdr:nvPicPr>
      <xdr:blipFill>
        <a:blip r:embed="rId12">
          <a:clrChange>
            <a:clrFrom>
              <a:srgbClr val="FFFFFF"/>
            </a:clrFrom>
            <a:clrTo>
              <a:srgbClr val="FFFFFF">
                <a:alpha val="0"/>
              </a:srgbClr>
            </a:clrTo>
          </a:clrChange>
        </a:blip>
        <a:stretch>
          <a:fillRect/>
        </a:stretch>
      </xdr:blipFill>
      <xdr:spPr>
        <a:xfrm>
          <a:off x="0" y="0"/>
          <a:ext cx="35242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07"/>
  <sheetViews>
    <sheetView tabSelected="1" workbookViewId="0" topLeftCell="A1">
      <selection activeCell="B7" sqref="B7"/>
    </sheetView>
  </sheetViews>
  <sheetFormatPr defaultColWidth="9.140625" defaultRowHeight="12.75"/>
  <cols>
    <col min="1" max="1" width="3.00390625" style="0" customWidth="1"/>
    <col min="3" max="3" width="15.421875" style="0" customWidth="1"/>
    <col min="4" max="4" width="17.140625" style="0" customWidth="1"/>
    <col min="5" max="5" width="17.8515625" style="0" customWidth="1"/>
    <col min="6" max="6" width="16.00390625" style="0" customWidth="1"/>
    <col min="7" max="7" width="18.00390625" style="0" customWidth="1"/>
    <col min="8" max="8" width="12.57421875" style="0" customWidth="1"/>
    <col min="9" max="9" width="21.7109375" style="0" bestFit="1" customWidth="1"/>
    <col min="10" max="10" width="13.57421875" style="0" bestFit="1" customWidth="1"/>
    <col min="11" max="11" width="14.57421875" style="0" customWidth="1"/>
    <col min="12" max="18" width="12.28125" style="0" customWidth="1"/>
  </cols>
  <sheetData>
    <row r="1" spans="1:9" s="2" customFormat="1" ht="18">
      <c r="A1" s="31"/>
      <c r="B1" s="31"/>
      <c r="C1" s="202" t="s">
        <v>410</v>
      </c>
      <c r="D1" s="202"/>
      <c r="E1" s="202"/>
      <c r="F1" s="202"/>
      <c r="G1" s="202"/>
      <c r="H1" s="202"/>
      <c r="I1" s="31"/>
    </row>
    <row r="2" spans="1:11" s="3" customFormat="1" ht="15.75">
      <c r="A2" s="30"/>
      <c r="B2" s="30"/>
      <c r="C2" s="203" t="s">
        <v>0</v>
      </c>
      <c r="D2" s="203"/>
      <c r="E2" s="203"/>
      <c r="F2" s="203"/>
      <c r="G2" s="203"/>
      <c r="H2" s="203"/>
      <c r="J2" s="158" t="s">
        <v>326</v>
      </c>
      <c r="K2" s="61"/>
    </row>
    <row r="3" spans="1:11" s="3" customFormat="1" ht="15.75">
      <c r="A3" s="30"/>
      <c r="B3" s="30"/>
      <c r="C3" s="203" t="s">
        <v>210</v>
      </c>
      <c r="D3" s="203"/>
      <c r="E3" s="203"/>
      <c r="F3" s="203"/>
      <c r="G3" s="203"/>
      <c r="H3" s="203"/>
      <c r="J3" s="158" t="s">
        <v>77</v>
      </c>
      <c r="K3" s="62"/>
    </row>
    <row r="4" spans="1:8" s="3" customFormat="1" ht="15.75">
      <c r="A4" s="30"/>
      <c r="B4" s="30"/>
      <c r="C4" s="169" t="s">
        <v>409</v>
      </c>
      <c r="D4" s="30"/>
      <c r="E4" s="30"/>
      <c r="F4" s="30"/>
      <c r="G4" s="30"/>
      <c r="H4" s="168" t="s">
        <v>411</v>
      </c>
    </row>
    <row r="5" spans="1:8" s="3" customFormat="1" ht="15.75">
      <c r="A5" s="30"/>
      <c r="B5" s="30"/>
      <c r="C5" s="169"/>
      <c r="D5" s="30"/>
      <c r="E5" s="30"/>
      <c r="F5" s="30"/>
      <c r="G5" s="30"/>
      <c r="H5" s="168"/>
    </row>
    <row r="6" spans="2:11" s="11" customFormat="1" ht="55.5" customHeight="1">
      <c r="B6" s="199" t="s">
        <v>408</v>
      </c>
      <c r="C6" s="199"/>
      <c r="D6" s="199"/>
      <c r="E6" s="199"/>
      <c r="F6" s="199"/>
      <c r="G6" s="199"/>
      <c r="H6" s="199"/>
      <c r="I6" s="199"/>
      <c r="J6" s="199"/>
      <c r="K6" s="199"/>
    </row>
    <row r="7" s="4" customFormat="1" ht="12.75"/>
    <row r="8" spans="2:11" s="11" customFormat="1" ht="55.5" customHeight="1">
      <c r="B8" s="200" t="s">
        <v>412</v>
      </c>
      <c r="C8" s="201"/>
      <c r="D8" s="201"/>
      <c r="E8" s="201"/>
      <c r="F8" s="201"/>
      <c r="G8" s="201"/>
      <c r="H8" s="201"/>
      <c r="I8" s="201"/>
      <c r="J8" s="201"/>
      <c r="K8" s="201"/>
    </row>
    <row r="10" ht="12.75">
      <c r="A10" s="1" t="s">
        <v>92</v>
      </c>
    </row>
    <row r="11" spans="1:8" ht="27" customHeight="1">
      <c r="A11" s="1"/>
      <c r="B11" s="204" t="s">
        <v>356</v>
      </c>
      <c r="C11" s="204"/>
      <c r="D11" s="204"/>
      <c r="E11" s="204"/>
      <c r="F11" s="204"/>
      <c r="G11" s="204"/>
      <c r="H11" s="204"/>
    </row>
    <row r="12" spans="1:9" ht="12.75">
      <c r="A12" s="1" t="s">
        <v>66</v>
      </c>
      <c r="B12" s="190" t="s">
        <v>217</v>
      </c>
      <c r="C12" s="190"/>
      <c r="D12" s="190"/>
      <c r="E12" s="190"/>
      <c r="F12" s="190"/>
      <c r="G12" s="190"/>
      <c r="H12" s="190"/>
      <c r="I12" s="7"/>
    </row>
    <row r="13" spans="2:9" ht="12.75">
      <c r="B13" s="43" t="s">
        <v>327</v>
      </c>
      <c r="C13" s="34"/>
      <c r="D13" s="34"/>
      <c r="E13" s="34"/>
      <c r="F13" s="34"/>
      <c r="G13" s="34"/>
      <c r="H13" s="34"/>
      <c r="I13" s="7"/>
    </row>
    <row r="14" spans="2:4" ht="12.75">
      <c r="B14" t="s">
        <v>1</v>
      </c>
      <c r="D14" s="58"/>
    </row>
    <row r="15" spans="2:5" ht="12.75">
      <c r="B15" t="s">
        <v>2</v>
      </c>
      <c r="D15" s="58"/>
      <c r="E15" s="32"/>
    </row>
    <row r="16" spans="2:5" ht="12.75">
      <c r="B16" t="s">
        <v>3</v>
      </c>
      <c r="D16" s="58"/>
      <c r="E16" s="33"/>
    </row>
    <row r="17" ht="12.75">
      <c r="D17" s="5"/>
    </row>
    <row r="18" spans="1:2" ht="12.75">
      <c r="A18" s="1" t="s">
        <v>67</v>
      </c>
      <c r="B18" t="s">
        <v>4</v>
      </c>
    </row>
    <row r="19" spans="2:8" ht="39" customHeight="1">
      <c r="B19" s="190" t="s">
        <v>350</v>
      </c>
      <c r="C19" s="190"/>
      <c r="D19" s="190"/>
      <c r="E19" s="190"/>
      <c r="F19" s="190"/>
      <c r="G19" s="190"/>
      <c r="H19" s="190"/>
    </row>
    <row r="20" ht="12.75">
      <c r="B20" s="10" t="s">
        <v>357</v>
      </c>
    </row>
    <row r="21" ht="12.75">
      <c r="D21" s="47">
        <v>10</v>
      </c>
    </row>
    <row r="22" s="5" customFormat="1" ht="12.75">
      <c r="D22" s="77"/>
    </row>
    <row r="23" spans="1:4" ht="12.75">
      <c r="A23" s="155">
        <v>2</v>
      </c>
      <c r="B23" t="s">
        <v>216</v>
      </c>
      <c r="D23" s="5"/>
    </row>
    <row r="24" spans="2:4" ht="12.75">
      <c r="B24" t="s">
        <v>211</v>
      </c>
      <c r="D24" s="5"/>
    </row>
    <row r="25" spans="2:9" ht="12.75">
      <c r="B25" t="s">
        <v>1</v>
      </c>
      <c r="D25" s="58">
        <v>10</v>
      </c>
      <c r="E25" s="8" t="s">
        <v>194</v>
      </c>
      <c r="F25" s="7"/>
      <c r="G25" s="7"/>
      <c r="H25" s="7"/>
      <c r="I25" s="7"/>
    </row>
    <row r="26" spans="2:5" ht="12.75">
      <c r="B26" t="s">
        <v>2</v>
      </c>
      <c r="D26" s="78">
        <v>7.9</v>
      </c>
      <c r="E26" t="s">
        <v>195</v>
      </c>
    </row>
    <row r="27" spans="2:5" ht="12.75">
      <c r="B27" t="s">
        <v>3</v>
      </c>
      <c r="D27" s="78">
        <v>8.2</v>
      </c>
      <c r="E27" t="s">
        <v>196</v>
      </c>
    </row>
    <row r="28" ht="12.75">
      <c r="D28" s="80"/>
    </row>
    <row r="29" spans="1:4" ht="12.75">
      <c r="A29" s="155">
        <v>3</v>
      </c>
      <c r="B29" t="s">
        <v>214</v>
      </c>
      <c r="D29" s="79"/>
    </row>
    <row r="30" spans="2:4" ht="12.75">
      <c r="B30" t="s">
        <v>211</v>
      </c>
      <c r="D30" s="79"/>
    </row>
    <row r="31" spans="2:9" ht="12.75">
      <c r="B31" t="s">
        <v>1</v>
      </c>
      <c r="D31" s="78">
        <v>4.8</v>
      </c>
      <c r="E31" s="190" t="s">
        <v>200</v>
      </c>
      <c r="F31" s="190"/>
      <c r="G31" s="190"/>
      <c r="H31" s="190"/>
      <c r="I31" s="7"/>
    </row>
    <row r="32" spans="2:5" ht="12.75">
      <c r="B32" t="s">
        <v>2</v>
      </c>
      <c r="D32" s="78">
        <v>5</v>
      </c>
      <c r="E32" t="s">
        <v>201</v>
      </c>
    </row>
    <row r="33" spans="2:5" ht="12.75">
      <c r="B33" t="s">
        <v>3</v>
      </c>
      <c r="D33" s="78">
        <v>5.1</v>
      </c>
      <c r="E33" t="s">
        <v>202</v>
      </c>
    </row>
    <row r="34" s="5" customFormat="1" ht="12.75">
      <c r="D34" s="80"/>
    </row>
    <row r="35" spans="1:12" ht="12.75">
      <c r="A35" s="1" t="s">
        <v>68</v>
      </c>
      <c r="L35" s="1"/>
    </row>
    <row r="36" spans="1:12" ht="12.75">
      <c r="A36" s="1"/>
      <c r="L36" s="1"/>
    </row>
    <row r="37" spans="1:4" ht="12.75">
      <c r="A37" s="50" t="s">
        <v>218</v>
      </c>
      <c r="D37" s="5"/>
    </row>
    <row r="38" spans="1:4" s="4" customFormat="1" ht="12.75">
      <c r="A38" s="36"/>
      <c r="D38" s="125"/>
    </row>
    <row r="39" spans="1:4" ht="12.75">
      <c r="A39" s="155">
        <v>4</v>
      </c>
      <c r="B39" t="s">
        <v>215</v>
      </c>
      <c r="D39" s="5"/>
    </row>
    <row r="40" spans="2:4" ht="12.75">
      <c r="B40" t="s">
        <v>211</v>
      </c>
      <c r="D40" s="5"/>
    </row>
    <row r="41" spans="2:9" ht="12.75">
      <c r="B41" t="s">
        <v>1</v>
      </c>
      <c r="D41" s="58">
        <v>8.3</v>
      </c>
      <c r="E41" s="8" t="s">
        <v>197</v>
      </c>
      <c r="F41" s="7"/>
      <c r="G41" s="7"/>
      <c r="H41" s="7"/>
      <c r="I41" s="7"/>
    </row>
    <row r="42" spans="2:5" ht="12.75">
      <c r="B42" t="s">
        <v>2</v>
      </c>
      <c r="D42" s="58">
        <v>8.3</v>
      </c>
      <c r="E42" t="s">
        <v>198</v>
      </c>
    </row>
    <row r="43" spans="2:5" ht="12.75">
      <c r="B43" t="s">
        <v>3</v>
      </c>
      <c r="D43" s="58">
        <v>8.3</v>
      </c>
      <c r="E43" t="s">
        <v>199</v>
      </c>
    </row>
    <row r="45" spans="1:4" ht="12.75">
      <c r="A45" s="155">
        <v>5</v>
      </c>
      <c r="B45" t="s">
        <v>213</v>
      </c>
      <c r="D45" s="79"/>
    </row>
    <row r="46" spans="2:4" ht="12.75">
      <c r="B46" t="s">
        <v>211</v>
      </c>
      <c r="D46" s="79"/>
    </row>
    <row r="47" spans="2:9" ht="12.75">
      <c r="B47" t="s">
        <v>1</v>
      </c>
      <c r="D47" s="78">
        <v>2.1</v>
      </c>
      <c r="E47" s="190" t="s">
        <v>191</v>
      </c>
      <c r="F47" s="190"/>
      <c r="G47" s="190"/>
      <c r="H47" s="190"/>
      <c r="I47" s="7"/>
    </row>
    <row r="48" spans="2:5" ht="12.75">
      <c r="B48" t="s">
        <v>2</v>
      </c>
      <c r="D48" s="78">
        <v>3.5</v>
      </c>
      <c r="E48" t="s">
        <v>192</v>
      </c>
    </row>
    <row r="49" spans="2:5" ht="12.75">
      <c r="B49" t="s">
        <v>3</v>
      </c>
      <c r="D49" s="78">
        <v>2.1</v>
      </c>
      <c r="E49" t="s">
        <v>193</v>
      </c>
    </row>
    <row r="50" ht="12.75">
      <c r="D50" s="5"/>
    </row>
    <row r="51" spans="1:2" ht="12.75" customHeight="1">
      <c r="A51" s="155">
        <v>6</v>
      </c>
      <c r="B51" s="5" t="s">
        <v>358</v>
      </c>
    </row>
    <row r="52" spans="2:7" s="5" customFormat="1" ht="39.75" customHeight="1">
      <c r="B52" s="173" t="s">
        <v>359</v>
      </c>
      <c r="C52" s="173"/>
      <c r="D52" s="173"/>
      <c r="E52" s="173"/>
      <c r="F52" s="173"/>
      <c r="G52" s="173"/>
    </row>
    <row r="53" spans="4:5" ht="12.75">
      <c r="D53" s="60">
        <v>0.25</v>
      </c>
      <c r="E53" t="s">
        <v>110</v>
      </c>
    </row>
    <row r="54" s="5" customFormat="1" ht="12.75">
      <c r="D54" s="97"/>
    </row>
    <row r="55" spans="1:4" s="5" customFormat="1" ht="12.75">
      <c r="A55" s="156">
        <v>7</v>
      </c>
      <c r="B55" s="5" t="s">
        <v>219</v>
      </c>
      <c r="D55" s="77"/>
    </row>
    <row r="56" spans="2:4" s="5" customFormat="1" ht="12.75">
      <c r="B56" s="5" t="s">
        <v>212</v>
      </c>
      <c r="D56" s="77"/>
    </row>
    <row r="57" spans="4:11" s="5" customFormat="1" ht="12.75">
      <c r="D57" s="77"/>
      <c r="E57" s="77"/>
      <c r="I57" s="186" t="s">
        <v>220</v>
      </c>
      <c r="J57" s="186"/>
      <c r="K57" s="186"/>
    </row>
    <row r="58" spans="4:11" s="5" customFormat="1" ht="12.75">
      <c r="D58" s="98" t="s">
        <v>328</v>
      </c>
      <c r="E58" s="82" t="s">
        <v>333</v>
      </c>
      <c r="F58" s="82"/>
      <c r="I58" s="44" t="s">
        <v>72</v>
      </c>
      <c r="J58" s="44" t="s">
        <v>73</v>
      </c>
      <c r="K58" s="44" t="s">
        <v>74</v>
      </c>
    </row>
    <row r="59" spans="2:11" ht="12.75">
      <c r="B59" t="s">
        <v>98</v>
      </c>
      <c r="D59" s="59">
        <v>0</v>
      </c>
      <c r="E59" s="59">
        <v>0</v>
      </c>
      <c r="F59" s="128"/>
      <c r="I59" s="45">
        <f>+Calculations!K119</f>
        <v>0</v>
      </c>
      <c r="J59" s="45">
        <f>+Calculations!G126</f>
        <v>0</v>
      </c>
      <c r="K59" s="45">
        <f>+Calculations!K106</f>
        <v>0</v>
      </c>
    </row>
    <row r="60" spans="2:11" ht="12.75">
      <c r="B60" t="s">
        <v>99</v>
      </c>
      <c r="D60" s="59">
        <v>0</v>
      </c>
      <c r="E60" s="59">
        <v>0</v>
      </c>
      <c r="F60" s="128"/>
      <c r="I60" s="45">
        <f>+Calculations!K120</f>
        <v>0</v>
      </c>
      <c r="J60" s="45">
        <f>+Calculations!G127</f>
        <v>0</v>
      </c>
      <c r="K60" s="45">
        <f>+Calculations!K107</f>
        <v>0</v>
      </c>
    </row>
    <row r="61" spans="2:11" ht="12.75">
      <c r="B61" t="s">
        <v>100</v>
      </c>
      <c r="D61" s="59">
        <v>0</v>
      </c>
      <c r="E61" s="59">
        <v>0</v>
      </c>
      <c r="F61" s="128"/>
      <c r="I61" s="45">
        <f>+Calculations!K121</f>
        <v>0</v>
      </c>
      <c r="J61" s="45">
        <f>+Calculations!G128</f>
        <v>0</v>
      </c>
      <c r="K61" s="45">
        <f>+Calculations!K108</f>
        <v>0</v>
      </c>
    </row>
    <row r="62" spans="4:7" s="5" customFormat="1" ht="12.75" customHeight="1">
      <c r="D62" s="77"/>
      <c r="E62" s="173"/>
      <c r="F62" s="173"/>
      <c r="G62" s="173"/>
    </row>
    <row r="63" spans="1:2" ht="12.75">
      <c r="A63" s="50" t="s">
        <v>69</v>
      </c>
      <c r="B63" s="36"/>
    </row>
    <row r="64" spans="1:2" ht="12.75">
      <c r="A64" s="50"/>
      <c r="B64" s="36"/>
    </row>
    <row r="65" spans="1:2" ht="12.75">
      <c r="A65" s="155">
        <v>8</v>
      </c>
      <c r="B65" t="s">
        <v>79</v>
      </c>
    </row>
    <row r="66" ht="14.25" customHeight="1">
      <c r="B66" t="s">
        <v>78</v>
      </c>
    </row>
    <row r="67" spans="9:11" ht="12.75" customHeight="1">
      <c r="I67" s="186" t="s">
        <v>82</v>
      </c>
      <c r="J67" s="186"/>
      <c r="K67" s="186"/>
    </row>
    <row r="68" spans="4:11" ht="12.75">
      <c r="D68" s="37" t="s">
        <v>70</v>
      </c>
      <c r="E68" s="37" t="s">
        <v>71</v>
      </c>
      <c r="I68" s="44" t="s">
        <v>72</v>
      </c>
      <c r="J68" s="44" t="s">
        <v>73</v>
      </c>
      <c r="K68" s="44" t="s">
        <v>74</v>
      </c>
    </row>
    <row r="69" spans="2:11" ht="12.75" customHeight="1">
      <c r="B69" t="s">
        <v>1</v>
      </c>
      <c r="D69" s="48" t="s">
        <v>8</v>
      </c>
      <c r="E69" s="48" t="s">
        <v>8</v>
      </c>
      <c r="I69" s="45">
        <f>Calculations!H44</f>
        <v>0</v>
      </c>
      <c r="J69" s="45">
        <f>Calculations!F51</f>
        <v>0</v>
      </c>
      <c r="K69" s="45">
        <f>Calculations!K37</f>
        <v>0</v>
      </c>
    </row>
    <row r="70" spans="2:11" ht="12.75">
      <c r="B70" t="s">
        <v>2</v>
      </c>
      <c r="D70" s="48" t="s">
        <v>8</v>
      </c>
      <c r="E70" s="48" t="s">
        <v>8</v>
      </c>
      <c r="I70" s="45">
        <f>Calculations!H45</f>
        <v>0</v>
      </c>
      <c r="J70" s="45">
        <f>Calculations!F52</f>
        <v>0</v>
      </c>
      <c r="K70" s="45">
        <f>Calculations!K38</f>
        <v>0</v>
      </c>
    </row>
    <row r="71" spans="2:11" ht="12.75">
      <c r="B71" t="s">
        <v>3</v>
      </c>
      <c r="D71" s="48" t="s">
        <v>8</v>
      </c>
      <c r="E71" s="48" t="s">
        <v>8</v>
      </c>
      <c r="I71" s="45">
        <f>Calculations!H46</f>
        <v>0</v>
      </c>
      <c r="J71" s="45">
        <f>Calculations!F53</f>
        <v>0</v>
      </c>
      <c r="K71" s="45">
        <f>Calculations!K39</f>
        <v>0</v>
      </c>
    </row>
    <row r="72" spans="4:5" ht="12.75">
      <c r="D72" s="40"/>
      <c r="E72" s="40"/>
    </row>
    <row r="73" spans="1:4" ht="12.75">
      <c r="A73" s="1" t="s">
        <v>209</v>
      </c>
      <c r="D73" s="9"/>
    </row>
    <row r="74" spans="1:4" ht="12.75">
      <c r="A74" s="1"/>
      <c r="D74" s="9"/>
    </row>
    <row r="75" spans="1:4" ht="12.75">
      <c r="A75" s="50" t="s">
        <v>96</v>
      </c>
      <c r="D75" s="5"/>
    </row>
    <row r="76" spans="1:4" ht="12.75">
      <c r="A76" s="50"/>
      <c r="D76" s="5"/>
    </row>
    <row r="77" spans="1:2" ht="12.75">
      <c r="A77" s="155">
        <v>9</v>
      </c>
      <c r="B77" t="s">
        <v>355</v>
      </c>
    </row>
    <row r="78" spans="9:11" ht="12.75">
      <c r="I78" s="187" t="s">
        <v>83</v>
      </c>
      <c r="J78" s="187"/>
      <c r="K78" s="187"/>
    </row>
    <row r="79" spans="4:11" ht="12.75">
      <c r="D79" s="38" t="s">
        <v>70</v>
      </c>
      <c r="E79" s="38" t="s">
        <v>71</v>
      </c>
      <c r="I79" s="39" t="s">
        <v>72</v>
      </c>
      <c r="J79" s="39" t="s">
        <v>73</v>
      </c>
      <c r="K79" s="39" t="s">
        <v>74</v>
      </c>
    </row>
    <row r="80" spans="4:11" ht="12.75">
      <c r="D80" s="48" t="s">
        <v>10</v>
      </c>
      <c r="E80" s="48" t="s">
        <v>10</v>
      </c>
      <c r="H80" t="s">
        <v>336</v>
      </c>
      <c r="I80" s="46">
        <f>Calculations!F67</f>
        <v>0</v>
      </c>
      <c r="J80" s="46">
        <f>Calculations!F74</f>
        <v>0</v>
      </c>
      <c r="K80" s="46">
        <f>Calculations!K60</f>
        <v>0</v>
      </c>
    </row>
    <row r="81" spans="4:11" ht="12.75">
      <c r="D81" s="98"/>
      <c r="E81" s="98"/>
      <c r="H81" t="s">
        <v>337</v>
      </c>
      <c r="I81" s="46">
        <f>Calculations!F68</f>
        <v>0</v>
      </c>
      <c r="J81" s="46">
        <f>Calculations!F75</f>
        <v>0</v>
      </c>
      <c r="K81" s="46">
        <f>Calculations!K61</f>
        <v>0</v>
      </c>
    </row>
    <row r="82" spans="4:11" ht="12.75">
      <c r="D82" s="98"/>
      <c r="E82" s="98"/>
      <c r="H82" t="s">
        <v>338</v>
      </c>
      <c r="I82" s="46">
        <f>Calculations!F69</f>
        <v>0</v>
      </c>
      <c r="J82" s="46">
        <f>Calculations!F76</f>
        <v>0</v>
      </c>
      <c r="K82" s="46">
        <f>Calculations!K62</f>
        <v>0</v>
      </c>
    </row>
    <row r="83" ht="12.75">
      <c r="D83" s="5"/>
    </row>
    <row r="84" spans="1:4" ht="12.75">
      <c r="A84" s="50" t="s">
        <v>75</v>
      </c>
      <c r="D84" s="5"/>
    </row>
    <row r="85" spans="1:4" ht="12.75">
      <c r="A85" s="50"/>
      <c r="D85" s="5"/>
    </row>
    <row r="86" spans="1:2" ht="12.75" customHeight="1">
      <c r="A86" s="155">
        <v>10</v>
      </c>
      <c r="B86" t="s">
        <v>351</v>
      </c>
    </row>
    <row r="87" spans="4:5" ht="12.75">
      <c r="D87" s="161">
        <v>0.98</v>
      </c>
      <c r="E87" t="s">
        <v>252</v>
      </c>
    </row>
    <row r="88" s="5" customFormat="1" ht="12.75">
      <c r="D88" s="97"/>
    </row>
    <row r="89" spans="1:2" ht="12.75">
      <c r="A89" s="155">
        <v>11</v>
      </c>
      <c r="B89" t="s">
        <v>80</v>
      </c>
    </row>
    <row r="90" ht="12.75">
      <c r="B90" t="s">
        <v>81</v>
      </c>
    </row>
    <row r="91" spans="7:11" ht="12.75">
      <c r="G91" s="8"/>
      <c r="I91" s="187" t="s">
        <v>84</v>
      </c>
      <c r="J91" s="187"/>
      <c r="K91" s="187"/>
    </row>
    <row r="92" spans="4:10" ht="12.75">
      <c r="D92" s="38" t="s">
        <v>70</v>
      </c>
      <c r="E92" s="38" t="s">
        <v>71</v>
      </c>
      <c r="F92" s="39"/>
      <c r="G92" s="39"/>
      <c r="I92" s="39"/>
      <c r="J92" s="39" t="s">
        <v>73</v>
      </c>
    </row>
    <row r="93" spans="2:10" ht="12.75" customHeight="1">
      <c r="B93" t="s">
        <v>1</v>
      </c>
      <c r="D93" s="59">
        <v>0</v>
      </c>
      <c r="E93" s="59">
        <v>0</v>
      </c>
      <c r="F93" s="41"/>
      <c r="I93" s="7"/>
      <c r="J93" s="49">
        <f>Calculations!H83</f>
        <v>0</v>
      </c>
    </row>
    <row r="94" spans="2:10" ht="12.75">
      <c r="B94" t="s">
        <v>2</v>
      </c>
      <c r="D94" s="59">
        <v>0</v>
      </c>
      <c r="E94" s="59">
        <v>0</v>
      </c>
      <c r="F94" s="41"/>
      <c r="I94" s="7"/>
      <c r="J94" s="49">
        <f>Calculations!H84</f>
        <v>0</v>
      </c>
    </row>
    <row r="95" spans="2:10" ht="12.75">
      <c r="B95" t="s">
        <v>3</v>
      </c>
      <c r="D95" s="59">
        <v>0</v>
      </c>
      <c r="E95" s="59">
        <v>0</v>
      </c>
      <c r="F95" s="41"/>
      <c r="J95" s="49">
        <f>Calculations!H85</f>
        <v>0</v>
      </c>
    </row>
    <row r="96" spans="4:10" ht="12.75">
      <c r="D96" s="128"/>
      <c r="E96" s="128"/>
      <c r="F96" s="41"/>
      <c r="J96" s="49"/>
    </row>
    <row r="97" spans="1:4" ht="12.75">
      <c r="A97" s="50" t="s">
        <v>254</v>
      </c>
      <c r="D97" s="5"/>
    </row>
    <row r="98" spans="1:4" ht="12.75">
      <c r="A98" s="36"/>
      <c r="D98" s="5"/>
    </row>
    <row r="99" spans="1:8" ht="26.25" customHeight="1">
      <c r="A99" s="157">
        <v>12</v>
      </c>
      <c r="B99" s="190" t="s">
        <v>255</v>
      </c>
      <c r="C99" s="190"/>
      <c r="D99" s="190"/>
      <c r="E99" s="190"/>
      <c r="F99" s="190"/>
      <c r="G99" s="190"/>
      <c r="H99" s="190"/>
    </row>
    <row r="100" spans="4:9" ht="12.75">
      <c r="D100" s="58"/>
      <c r="E100" s="43" t="s">
        <v>256</v>
      </c>
      <c r="F100" s="43"/>
      <c r="G100" s="43"/>
      <c r="H100" s="43"/>
      <c r="I100" s="7"/>
    </row>
    <row r="101" spans="4:9" ht="12.75">
      <c r="D101" s="127"/>
      <c r="E101" s="43"/>
      <c r="F101" s="43"/>
      <c r="G101" s="43"/>
      <c r="H101" s="43"/>
      <c r="I101" s="7"/>
    </row>
    <row r="102" spans="1:4" ht="12.75">
      <c r="A102" s="155">
        <v>13</v>
      </c>
      <c r="B102" t="s">
        <v>257</v>
      </c>
      <c r="D102" s="5"/>
    </row>
    <row r="103" spans="2:4" ht="12.75">
      <c r="B103" t="s">
        <v>258</v>
      </c>
      <c r="D103" s="5"/>
    </row>
    <row r="104" spans="4:9" ht="12.75">
      <c r="D104" s="58">
        <v>7</v>
      </c>
      <c r="E104" s="8" t="s">
        <v>259</v>
      </c>
      <c r="F104" s="7"/>
      <c r="G104" s="7"/>
      <c r="H104" s="7"/>
      <c r="I104" s="7"/>
    </row>
    <row r="105" spans="4:9" ht="12.75">
      <c r="D105" s="127"/>
      <c r="E105" s="8"/>
      <c r="F105" s="7"/>
      <c r="G105" s="7"/>
      <c r="H105" s="7"/>
      <c r="I105" s="7"/>
    </row>
    <row r="106" spans="1:4" ht="12.75">
      <c r="A106" s="155">
        <v>14</v>
      </c>
      <c r="B106" t="s">
        <v>281</v>
      </c>
      <c r="D106" s="5"/>
    </row>
    <row r="107" spans="2:4" ht="12.75">
      <c r="B107" t="s">
        <v>258</v>
      </c>
      <c r="D107" s="5"/>
    </row>
    <row r="108" spans="4:9" ht="12.75">
      <c r="D108" s="58">
        <v>7</v>
      </c>
      <c r="E108" s="8" t="s">
        <v>282</v>
      </c>
      <c r="F108" s="7"/>
      <c r="G108" s="7"/>
      <c r="H108" s="7"/>
      <c r="I108" s="7"/>
    </row>
    <row r="109" spans="1:4" ht="12.75">
      <c r="A109" s="50"/>
      <c r="D109" s="5"/>
    </row>
    <row r="110" spans="1:2" ht="12.75">
      <c r="A110" s="155">
        <v>15</v>
      </c>
      <c r="B110" t="s">
        <v>260</v>
      </c>
    </row>
    <row r="111" spans="2:8" ht="14.25" customHeight="1">
      <c r="B111" s="190" t="s">
        <v>331</v>
      </c>
      <c r="C111" s="190"/>
      <c r="D111" s="190"/>
      <c r="E111" s="190"/>
      <c r="F111" s="190"/>
      <c r="G111" s="190"/>
      <c r="H111" s="190"/>
    </row>
    <row r="112" spans="9:11" ht="12.75" customHeight="1">
      <c r="I112" s="186" t="s">
        <v>352</v>
      </c>
      <c r="J112" s="186"/>
      <c r="K112" s="186"/>
    </row>
    <row r="113" spans="4:11" ht="12.75">
      <c r="D113" s="37" t="s">
        <v>70</v>
      </c>
      <c r="E113" s="37" t="s">
        <v>71</v>
      </c>
      <c r="I113" s="44" t="s">
        <v>72</v>
      </c>
      <c r="J113" s="44" t="s">
        <v>73</v>
      </c>
      <c r="K113" s="44" t="s">
        <v>74</v>
      </c>
    </row>
    <row r="114" spans="4:11" ht="12.75" customHeight="1">
      <c r="D114" s="48" t="s">
        <v>261</v>
      </c>
      <c r="E114" s="48" t="s">
        <v>261</v>
      </c>
      <c r="I114" s="45">
        <f>Calculations!H227</f>
        <v>0</v>
      </c>
      <c r="J114" s="45" t="s">
        <v>253</v>
      </c>
      <c r="K114" s="45">
        <f>Calculations!D220</f>
        <v>0</v>
      </c>
    </row>
    <row r="115" spans="4:11" s="5" customFormat="1" ht="12.75" customHeight="1">
      <c r="D115" s="98"/>
      <c r="E115" s="98"/>
      <c r="I115" s="129"/>
      <c r="J115" s="129"/>
      <c r="K115" s="129"/>
    </row>
    <row r="116" spans="1:2" ht="12.75">
      <c r="A116" s="155">
        <v>16</v>
      </c>
      <c r="B116" t="s">
        <v>291</v>
      </c>
    </row>
    <row r="117" spans="9:11" ht="12.75">
      <c r="I117" s="187" t="s">
        <v>296</v>
      </c>
      <c r="J117" s="187"/>
      <c r="K117" s="187"/>
    </row>
    <row r="118" spans="4:11" ht="12.75">
      <c r="D118" s="38" t="s">
        <v>70</v>
      </c>
      <c r="E118" s="38" t="s">
        <v>71</v>
      </c>
      <c r="I118" s="39" t="s">
        <v>72</v>
      </c>
      <c r="J118" s="39" t="s">
        <v>73</v>
      </c>
      <c r="K118" s="39" t="s">
        <v>74</v>
      </c>
    </row>
    <row r="119" spans="4:11" ht="12.75">
      <c r="D119" s="48" t="s">
        <v>10</v>
      </c>
      <c r="E119" s="48" t="s">
        <v>10</v>
      </c>
      <c r="I119" s="46">
        <f>Calculations!H246</f>
        <v>0</v>
      </c>
      <c r="J119" s="46" t="s">
        <v>253</v>
      </c>
      <c r="K119" s="46">
        <f>Calculations!D236</f>
        <v>0</v>
      </c>
    </row>
    <row r="120" spans="4:11" s="5" customFormat="1" ht="12.75">
      <c r="D120" s="98"/>
      <c r="E120" s="98"/>
      <c r="I120" s="132"/>
      <c r="J120" s="132"/>
      <c r="K120" s="132"/>
    </row>
    <row r="121" spans="1:4" ht="12.75">
      <c r="A121" s="1" t="s">
        <v>209</v>
      </c>
      <c r="D121" s="9"/>
    </row>
    <row r="122" spans="1:4" ht="12.75">
      <c r="A122" s="1"/>
      <c r="D122" s="9"/>
    </row>
    <row r="123" spans="1:4" ht="12.75">
      <c r="A123" s="50" t="s">
        <v>353</v>
      </c>
      <c r="D123" s="5"/>
    </row>
    <row r="124" spans="1:11" s="5" customFormat="1" ht="12.75">
      <c r="A124" s="36"/>
      <c r="D124" s="98"/>
      <c r="E124" s="98"/>
      <c r="I124" s="132"/>
      <c r="J124" s="132"/>
      <c r="K124" s="132"/>
    </row>
    <row r="125" spans="1:4" ht="12.75">
      <c r="A125" s="155">
        <v>17</v>
      </c>
      <c r="B125" t="s">
        <v>298</v>
      </c>
      <c r="D125" s="5"/>
    </row>
    <row r="126" spans="2:4" ht="12.75">
      <c r="B126" t="s">
        <v>258</v>
      </c>
      <c r="D126" s="5"/>
    </row>
    <row r="127" spans="4:9" ht="12.75">
      <c r="D127" s="58">
        <v>8.3</v>
      </c>
      <c r="E127" s="8" t="s">
        <v>301</v>
      </c>
      <c r="F127" s="7"/>
      <c r="G127" s="7"/>
      <c r="H127" s="7"/>
      <c r="I127" s="7"/>
    </row>
    <row r="128" spans="4:9" ht="12.75">
      <c r="D128" s="127"/>
      <c r="E128" s="8"/>
      <c r="F128" s="7"/>
      <c r="G128" s="7"/>
      <c r="H128" s="7"/>
      <c r="I128" s="7"/>
    </row>
    <row r="129" spans="1:4" ht="12.75">
      <c r="A129" s="155">
        <v>18</v>
      </c>
      <c r="B129" t="s">
        <v>299</v>
      </c>
      <c r="D129" s="5"/>
    </row>
    <row r="130" spans="2:4" ht="12.75">
      <c r="B130" t="s">
        <v>258</v>
      </c>
      <c r="D130" s="5"/>
    </row>
    <row r="131" spans="4:9" ht="12.75">
      <c r="D131" s="58">
        <v>0.083</v>
      </c>
      <c r="E131" s="8" t="s">
        <v>300</v>
      </c>
      <c r="F131" s="7"/>
      <c r="G131" s="7"/>
      <c r="H131" s="7"/>
      <c r="I131" s="7"/>
    </row>
    <row r="132" spans="4:9" s="5" customFormat="1" ht="12.75">
      <c r="D132" s="127"/>
      <c r="E132" s="134"/>
      <c r="F132" s="135"/>
      <c r="G132" s="135"/>
      <c r="H132" s="135"/>
      <c r="I132" s="135"/>
    </row>
    <row r="133" spans="1:4" s="5" customFormat="1" ht="12.75">
      <c r="A133" s="156">
        <v>19</v>
      </c>
      <c r="B133" s="5" t="s">
        <v>341</v>
      </c>
      <c r="D133" s="77"/>
    </row>
    <row r="134" spans="2:7" s="5" customFormat="1" ht="24" customHeight="1">
      <c r="B134" s="173" t="s">
        <v>342</v>
      </c>
      <c r="C134" s="173"/>
      <c r="D134" s="173"/>
      <c r="E134" s="173"/>
      <c r="F134" s="173"/>
      <c r="G134" s="173"/>
    </row>
    <row r="135" spans="4:11" s="5" customFormat="1" ht="29.25" customHeight="1">
      <c r="D135" s="77"/>
      <c r="E135" s="77"/>
      <c r="I135" s="186" t="s">
        <v>372</v>
      </c>
      <c r="J135" s="186"/>
      <c r="K135" s="186"/>
    </row>
    <row r="136" spans="4:11" s="5" customFormat="1" ht="25.5">
      <c r="D136" s="133" t="s">
        <v>339</v>
      </c>
      <c r="E136" s="82" t="s">
        <v>340</v>
      </c>
      <c r="F136" s="82"/>
      <c r="G136" s="82"/>
      <c r="I136" s="44" t="s">
        <v>72</v>
      </c>
      <c r="J136" s="44" t="s">
        <v>73</v>
      </c>
      <c r="K136" s="44" t="s">
        <v>74</v>
      </c>
    </row>
    <row r="137" spans="4:11" ht="12.75">
      <c r="D137" s="59">
        <v>0</v>
      </c>
      <c r="E137" s="59">
        <v>0</v>
      </c>
      <c r="F137" s="128"/>
      <c r="G137" s="46"/>
      <c r="I137" s="45">
        <f>Calculations!J262</f>
        <v>0</v>
      </c>
      <c r="J137" s="45" t="s">
        <v>253</v>
      </c>
      <c r="K137" s="45" t="s">
        <v>253</v>
      </c>
    </row>
    <row r="138" ht="12.75">
      <c r="D138" s="9"/>
    </row>
    <row r="139" spans="3:4" ht="12.75">
      <c r="C139" s="1" t="s">
        <v>57</v>
      </c>
      <c r="D139" s="9"/>
    </row>
    <row r="140" spans="3:4" ht="13.5" thickBot="1">
      <c r="C140" s="1"/>
      <c r="D140" s="9"/>
    </row>
    <row r="141" spans="3:9" ht="12.75">
      <c r="C141" s="174" t="s">
        <v>221</v>
      </c>
      <c r="D141" s="175"/>
      <c r="E141" s="175"/>
      <c r="F141" s="175"/>
      <c r="G141" s="175"/>
      <c r="H141" s="175"/>
      <c r="I141" s="176"/>
    </row>
    <row r="142" spans="3:9" ht="12.75">
      <c r="C142" s="177" t="s">
        <v>19</v>
      </c>
      <c r="D142" s="182" t="str">
        <f>IF(Calculations!P6="yes",Calculations!Q6,"You have not increased your use of waterborne primers.")</f>
        <v>You have not increased your use of waterborne primers.</v>
      </c>
      <c r="E142" s="182"/>
      <c r="F142" s="182"/>
      <c r="G142" s="182"/>
      <c r="H142" s="180">
        <f>IF(Calculations!P6="yes",CONCATENATE("(Usage increased from ",TEXT(InputResults!D59*100,0),"% to ",TEXT(InputResults!E59*100,0),"%)."),"")</f>
      </c>
      <c r="I142" s="181"/>
    </row>
    <row r="143" spans="3:9" ht="16.5" customHeight="1">
      <c r="C143" s="177"/>
      <c r="D143" s="182" t="str">
        <f>IF(Calculations!P7="yes",Calculations!Q7,"You have not increased your use of waterborne basecoats.")</f>
        <v>You have not increased your use of waterborne basecoats.</v>
      </c>
      <c r="E143" s="182"/>
      <c r="F143" s="182"/>
      <c r="G143" s="182"/>
      <c r="H143" s="180">
        <f>IF(Calculations!P7="yes",CONCATENATE("(Usage increased from ",TEXT(InputResults!D60*100,0),"% to ",TEXT(InputResults!E60*100,0),"%)."),"")</f>
      </c>
      <c r="I143" s="181"/>
    </row>
    <row r="144" spans="1:9" ht="12.75">
      <c r="A144" s="7"/>
      <c r="C144" s="178"/>
      <c r="D144" s="183" t="str">
        <f>IF(Calculations!P8="yes",Calculations!Q8,"You have not increased your use of waterborne clearcoats.")</f>
        <v>You have not increased your use of waterborne clearcoats.</v>
      </c>
      <c r="E144" s="183"/>
      <c r="F144" s="183"/>
      <c r="G144" s="183"/>
      <c r="H144" s="180">
        <f>IF(Calculations!P8="yes",CONCATENATE("(Usage increased from ",TEXT(InputResults!D61*100,0),"% to ",TEXT(InputResults!E61*100,0),"%)."),"")</f>
      </c>
      <c r="I144" s="181"/>
    </row>
    <row r="145" spans="1:9" ht="51">
      <c r="A145" s="7"/>
      <c r="C145" s="13" t="s">
        <v>11</v>
      </c>
      <c r="D145" s="55" t="s">
        <v>85</v>
      </c>
      <c r="E145" s="55" t="s">
        <v>12</v>
      </c>
      <c r="F145" s="55" t="s">
        <v>86</v>
      </c>
      <c r="G145" s="55" t="s">
        <v>55</v>
      </c>
      <c r="H145" s="55" t="s">
        <v>87</v>
      </c>
      <c r="I145" s="56" t="s">
        <v>13</v>
      </c>
    </row>
    <row r="146" spans="3:9" ht="12.75">
      <c r="C146" s="14" t="s">
        <v>15</v>
      </c>
      <c r="D146" s="15">
        <f>+Calculations!J119</f>
        <v>0</v>
      </c>
      <c r="E146" s="16">
        <f>+Calculations!K119</f>
        <v>0</v>
      </c>
      <c r="F146" s="15">
        <f>+Calculations!F126</f>
        <v>0</v>
      </c>
      <c r="G146" s="16">
        <f>+Calculations!G126</f>
        <v>0</v>
      </c>
      <c r="H146" s="15">
        <f>+Calculations!J106</f>
        <v>0</v>
      </c>
      <c r="I146" s="27">
        <f>+Calculations!K106</f>
        <v>0</v>
      </c>
    </row>
    <row r="147" spans="3:9" ht="12.75">
      <c r="C147" s="14" t="s">
        <v>237</v>
      </c>
      <c r="D147" s="15">
        <f>+Calculations!J120</f>
        <v>0</v>
      </c>
      <c r="E147" s="16">
        <f>+Calculations!K120</f>
        <v>0</v>
      </c>
      <c r="F147" s="15">
        <f>+Calculations!F127</f>
        <v>0</v>
      </c>
      <c r="G147" s="16">
        <f>+Calculations!G127</f>
        <v>0</v>
      </c>
      <c r="H147" s="15">
        <f>+Calculations!J107</f>
        <v>0</v>
      </c>
      <c r="I147" s="27">
        <f>+Calculations!K107</f>
        <v>0</v>
      </c>
    </row>
    <row r="148" spans="3:9" ht="13.5" thickBot="1">
      <c r="C148" s="20" t="s">
        <v>238</v>
      </c>
      <c r="D148" s="21">
        <f>+Calculations!J121</f>
        <v>0</v>
      </c>
      <c r="E148" s="22">
        <f>+Calculations!K121</f>
        <v>0</v>
      </c>
      <c r="F148" s="21">
        <f>+Calculations!F128</f>
        <v>0</v>
      </c>
      <c r="G148" s="22">
        <f>+Calculations!G128</f>
        <v>0</v>
      </c>
      <c r="H148" s="21">
        <f>+Calculations!J108</f>
        <v>0</v>
      </c>
      <c r="I148" s="29">
        <f>+Calculations!K108</f>
        <v>0</v>
      </c>
    </row>
    <row r="149" spans="3:9" ht="14.25" thickBot="1" thickTop="1">
      <c r="C149" s="17" t="s">
        <v>18</v>
      </c>
      <c r="D149" s="18">
        <f>+Calculations!J122</f>
        <v>0</v>
      </c>
      <c r="E149" s="19">
        <f>+Calculations!K122</f>
        <v>0</v>
      </c>
      <c r="F149" s="18">
        <f>+Calculations!F129</f>
        <v>0</v>
      </c>
      <c r="G149" s="19">
        <f>+Calculations!G129</f>
        <v>0</v>
      </c>
      <c r="H149" s="18">
        <f>+Calculations!J109</f>
        <v>0</v>
      </c>
      <c r="I149" s="28">
        <f>+Calculations!K109</f>
        <v>0</v>
      </c>
    </row>
    <row r="150" ht="13.5" thickBot="1">
      <c r="I150" s="25"/>
    </row>
    <row r="151" spans="3:9" ht="12.75">
      <c r="C151" s="174" t="s">
        <v>224</v>
      </c>
      <c r="D151" s="175"/>
      <c r="E151" s="175"/>
      <c r="F151" s="175"/>
      <c r="G151" s="175"/>
      <c r="H151" s="175"/>
      <c r="I151" s="176"/>
    </row>
    <row r="152" spans="3:9" ht="12" customHeight="1">
      <c r="C152" s="177" t="s">
        <v>19</v>
      </c>
      <c r="D152" s="195" t="str">
        <f>IF(Calculations!P11="yes",Calculations!Q11,(IF(Calculations!P15="yes",Calculations!Q15,(IF(Calculations!P19="yes",Calculations!Q19)))))</f>
        <v>Your shop continues to use conventional spray guns for primer coats.</v>
      </c>
      <c r="E152" s="195"/>
      <c r="F152" s="195"/>
      <c r="G152" s="195"/>
      <c r="H152" s="195"/>
      <c r="I152" s="196"/>
    </row>
    <row r="153" spans="3:9" ht="12" customHeight="1">
      <c r="C153" s="177"/>
      <c r="D153" s="195" t="str">
        <f>IF(Calculations!P12="yes",Calculations!Q12,(IF(Calculations!P16="yes",Calculations!Q16,(IF(Calculations!P20="yes",Calculations!Q20)))))</f>
        <v>Your shop continues to use conventional spray guns for base coats.</v>
      </c>
      <c r="E153" s="195"/>
      <c r="F153" s="195"/>
      <c r="G153" s="195"/>
      <c r="H153" s="195"/>
      <c r="I153" s="196"/>
    </row>
    <row r="154" spans="3:9" s="7" customFormat="1" ht="12" customHeight="1">
      <c r="C154" s="178"/>
      <c r="D154" s="188" t="str">
        <f>IF(Calculations!P13="yes",Calculations!Q13,(IF(Calculations!P17="yes",Calculations!Q17,(IF(Calculations!P21="yes",Calculations!Q21)))))</f>
        <v>Your shop continues to use conventional spray guns for clear coats.</v>
      </c>
      <c r="E154" s="188"/>
      <c r="F154" s="188"/>
      <c r="G154" s="188"/>
      <c r="H154" s="188"/>
      <c r="I154" s="189"/>
    </row>
    <row r="155" spans="3:9" s="7" customFormat="1" ht="51">
      <c r="C155" s="13" t="s">
        <v>11</v>
      </c>
      <c r="D155" s="55" t="s">
        <v>85</v>
      </c>
      <c r="E155" s="55" t="s">
        <v>12</v>
      </c>
      <c r="F155" s="55" t="s">
        <v>86</v>
      </c>
      <c r="G155" s="55" t="s">
        <v>55</v>
      </c>
      <c r="H155" s="55" t="s">
        <v>87</v>
      </c>
      <c r="I155" s="56" t="s">
        <v>13</v>
      </c>
    </row>
    <row r="156" spans="3:9" ht="12.75">
      <c r="C156" s="14" t="s">
        <v>15</v>
      </c>
      <c r="D156" s="15">
        <f>Calculations!G44</f>
        <v>0</v>
      </c>
      <c r="E156" s="16">
        <f>Calculations!H44</f>
        <v>0</v>
      </c>
      <c r="F156" s="15">
        <f>Calculations!E51</f>
        <v>0</v>
      </c>
      <c r="G156" s="16">
        <f>Calculations!F51</f>
        <v>0</v>
      </c>
      <c r="H156" s="15">
        <f>Calculations!I37</f>
        <v>0</v>
      </c>
      <c r="I156" s="27">
        <f>Calculations!K37</f>
        <v>0</v>
      </c>
    </row>
    <row r="157" spans="3:9" ht="12.75">
      <c r="C157" s="14" t="s">
        <v>237</v>
      </c>
      <c r="D157" s="15">
        <f>Calculations!G45</f>
        <v>0</v>
      </c>
      <c r="E157" s="16">
        <f>Calculations!H45</f>
        <v>0</v>
      </c>
      <c r="F157" s="15">
        <f>Calculations!E52</f>
        <v>0</v>
      </c>
      <c r="G157" s="16">
        <f>Calculations!F52</f>
        <v>0</v>
      </c>
      <c r="H157" s="15">
        <f>Calculations!I38</f>
        <v>0</v>
      </c>
      <c r="I157" s="27">
        <f>Calculations!K38</f>
        <v>0</v>
      </c>
    </row>
    <row r="158" spans="3:9" ht="13.5" thickBot="1">
      <c r="C158" s="20" t="s">
        <v>238</v>
      </c>
      <c r="D158" s="21">
        <f>Calculations!G46</f>
        <v>0</v>
      </c>
      <c r="E158" s="22">
        <f>Calculations!H46</f>
        <v>0</v>
      </c>
      <c r="F158" s="21">
        <f>Calculations!E53</f>
        <v>0</v>
      </c>
      <c r="G158" s="22">
        <f>Calculations!F53</f>
        <v>0</v>
      </c>
      <c r="H158" s="21">
        <f>Calculations!I39</f>
        <v>0</v>
      </c>
      <c r="I158" s="29">
        <f>Calculations!K39</f>
        <v>0</v>
      </c>
    </row>
    <row r="159" spans="3:9" ht="14.25" thickBot="1" thickTop="1">
      <c r="C159" s="17" t="s">
        <v>18</v>
      </c>
      <c r="D159" s="18">
        <f>Calculations!G47</f>
        <v>0</v>
      </c>
      <c r="E159" s="19">
        <f>Calculations!H47</f>
        <v>0</v>
      </c>
      <c r="F159" s="18">
        <f>Calculations!E54</f>
        <v>0</v>
      </c>
      <c r="G159" s="19">
        <f>Calculations!F54</f>
        <v>0</v>
      </c>
      <c r="H159" s="18">
        <f>Calculations!I40</f>
        <v>0</v>
      </c>
      <c r="I159" s="28">
        <f>Calculations!K40</f>
        <v>0</v>
      </c>
    </row>
    <row r="160" ht="13.5" thickBot="1"/>
    <row r="161" spans="3:9" ht="12.75">
      <c r="C161" s="174" t="s">
        <v>225</v>
      </c>
      <c r="D161" s="175"/>
      <c r="E161" s="175"/>
      <c r="F161" s="175"/>
      <c r="G161" s="175"/>
      <c r="H161" s="175"/>
      <c r="I161" s="176"/>
    </row>
    <row r="162" spans="1:11" ht="24" customHeight="1">
      <c r="A162" s="7"/>
      <c r="C162" s="119" t="s">
        <v>19</v>
      </c>
      <c r="D162" s="188" t="str">
        <f>IF(Calculations!P29="yes",Calculations!Q29,(IF(Calculations!P30="yes",Calculations!Q30,(IF(AND(Calculations!P31="yes",Calculations!P32="yes"),Calculations!Q31,(IF(Calculations!P32="no",Calculations!Q32)))))))</f>
        <v>Your painter is not specifically trained to use HVLP spray guns properly.</v>
      </c>
      <c r="E162" s="188"/>
      <c r="F162" s="188"/>
      <c r="G162" s="188"/>
      <c r="H162" s="188"/>
      <c r="I162" s="189"/>
      <c r="J162" s="7"/>
      <c r="K162" s="7"/>
    </row>
    <row r="163" spans="1:11" ht="51">
      <c r="A163" s="7"/>
      <c r="C163" s="13" t="s">
        <v>11</v>
      </c>
      <c r="D163" s="55" t="s">
        <v>85</v>
      </c>
      <c r="E163" s="55" t="s">
        <v>12</v>
      </c>
      <c r="F163" s="55" t="s">
        <v>86</v>
      </c>
      <c r="G163" s="55" t="s">
        <v>55</v>
      </c>
      <c r="H163" s="55" t="s">
        <v>87</v>
      </c>
      <c r="I163" s="56" t="s">
        <v>13</v>
      </c>
      <c r="J163" s="7"/>
      <c r="K163" s="7"/>
    </row>
    <row r="164" spans="3:9" ht="12.75">
      <c r="C164" s="14" t="s">
        <v>15</v>
      </c>
      <c r="D164" s="15">
        <f>Calculations!E67</f>
        <v>0</v>
      </c>
      <c r="E164" s="16">
        <f>Calculations!F67</f>
        <v>0</v>
      </c>
      <c r="F164" s="15">
        <f>Calculations!E74</f>
        <v>0</v>
      </c>
      <c r="G164" s="16">
        <f>Calculations!F74</f>
        <v>0</v>
      </c>
      <c r="H164" s="15">
        <f>Calculations!I60</f>
        <v>0</v>
      </c>
      <c r="I164" s="27">
        <f>Calculations!K60</f>
        <v>0</v>
      </c>
    </row>
    <row r="165" spans="3:9" ht="12.75">
      <c r="C165" s="14" t="s">
        <v>237</v>
      </c>
      <c r="D165" s="15">
        <f>Calculations!E68</f>
        <v>0</v>
      </c>
      <c r="E165" s="16">
        <f>Calculations!F68</f>
        <v>0</v>
      </c>
      <c r="F165" s="15">
        <f>Calculations!E75</f>
        <v>0</v>
      </c>
      <c r="G165" s="16">
        <f>Calculations!F75</f>
        <v>0</v>
      </c>
      <c r="H165" s="15">
        <f>Calculations!I61</f>
        <v>0</v>
      </c>
      <c r="I165" s="27">
        <f>Calculations!K61</f>
        <v>0</v>
      </c>
    </row>
    <row r="166" spans="3:9" ht="13.5" thickBot="1">
      <c r="C166" s="20" t="s">
        <v>238</v>
      </c>
      <c r="D166" s="21">
        <f>Calculations!E69</f>
        <v>0</v>
      </c>
      <c r="E166" s="22">
        <f>Calculations!F69</f>
        <v>0</v>
      </c>
      <c r="F166" s="21">
        <f>Calculations!E76</f>
        <v>0</v>
      </c>
      <c r="G166" s="22">
        <f>Calculations!F76</f>
        <v>0</v>
      </c>
      <c r="H166" s="21">
        <f>Calculations!I62</f>
        <v>0</v>
      </c>
      <c r="I166" s="29">
        <f>Calculations!K62</f>
        <v>0</v>
      </c>
    </row>
    <row r="167" spans="3:9" ht="14.25" thickBot="1" thickTop="1">
      <c r="C167" s="17" t="s">
        <v>18</v>
      </c>
      <c r="D167" s="18">
        <f>Calculations!E70</f>
        <v>0</v>
      </c>
      <c r="E167" s="19">
        <f>Calculations!F70</f>
        <v>0</v>
      </c>
      <c r="F167" s="18">
        <f>Calculations!E77</f>
        <v>0</v>
      </c>
      <c r="G167" s="19">
        <f>Calculations!F77</f>
        <v>0</v>
      </c>
      <c r="H167" s="18">
        <f>Calculations!I63</f>
        <v>0</v>
      </c>
      <c r="I167" s="28">
        <f>Calculations!K63</f>
        <v>0</v>
      </c>
    </row>
    <row r="168" spans="3:9" ht="12.75">
      <c r="C168" s="12"/>
      <c r="D168" s="51"/>
      <c r="E168" s="52"/>
      <c r="F168" s="51"/>
      <c r="G168" s="52"/>
      <c r="H168" s="51"/>
      <c r="I168" s="53"/>
    </row>
    <row r="169" spans="3:4" ht="12.75">
      <c r="C169" s="1" t="s">
        <v>251</v>
      </c>
      <c r="D169" s="9"/>
    </row>
    <row r="170" spans="3:9" ht="13.5" thickBot="1">
      <c r="C170" s="12"/>
      <c r="D170" s="51"/>
      <c r="E170" s="52"/>
      <c r="F170" s="51"/>
      <c r="G170" s="52"/>
      <c r="H170" s="51"/>
      <c r="I170" s="53"/>
    </row>
    <row r="171" spans="1:9" ht="12.75">
      <c r="A171" s="12"/>
      <c r="C171" s="174" t="s">
        <v>88</v>
      </c>
      <c r="D171" s="175"/>
      <c r="E171" s="175"/>
      <c r="F171" s="175"/>
      <c r="G171" s="175"/>
      <c r="H171" s="175"/>
      <c r="I171" s="176"/>
    </row>
    <row r="172" spans="1:9" ht="24" customHeight="1">
      <c r="A172" s="12"/>
      <c r="C172" s="119" t="s">
        <v>19</v>
      </c>
      <c r="D172" s="182" t="str">
        <f>IF(Calculations!P35="yes",Calculations!Q35,"You have not increased your use of the spray booth for primers.")</f>
        <v>You have not increased your use of the spray booth for primers.</v>
      </c>
      <c r="E172" s="182"/>
      <c r="F172" s="182"/>
      <c r="G172" s="182"/>
      <c r="H172" s="180">
        <f>IF(Calculations!P35="yes",CONCATENATE("(Usage increased from ",InputResults!D93*100,"% to ",InputResults!E93*100,"%)"),"")</f>
      </c>
      <c r="I172" s="181"/>
    </row>
    <row r="173" spans="1:9" ht="24" customHeight="1">
      <c r="A173" s="12"/>
      <c r="C173" s="119"/>
      <c r="D173" s="179" t="str">
        <f>IF(Calculations!P36="yes",Calculations!Q36,"You have not increased your use of the spray booth for basecoats.")</f>
        <v>You have not increased your use of the spray booth for basecoats.</v>
      </c>
      <c r="E173" s="179"/>
      <c r="F173" s="179"/>
      <c r="G173" s="179"/>
      <c r="H173" s="180">
        <f>IF(Calculations!P36="yes",CONCATENATE("(Usage increased from ",InputResults!D94*100,"% to ",InputResults!E94*100,"%)"),"")</f>
      </c>
      <c r="I173" s="181"/>
    </row>
    <row r="174" spans="1:9" s="7" customFormat="1" ht="24" customHeight="1">
      <c r="A174" s="26"/>
      <c r="C174" s="120"/>
      <c r="D174" s="198" t="str">
        <f>IF(Calculations!P37="yes",Calculations!Q37,"You have not increased your use of the spray booth for clearcoats.")</f>
        <v>You have not increased your use of the spray booth for clearcoats.</v>
      </c>
      <c r="E174" s="198"/>
      <c r="F174" s="198"/>
      <c r="G174" s="198"/>
      <c r="H174" s="180">
        <f>IF(Calculations!P37="yes",CONCATENATE("(Usage increased from ",InputResults!D95*100,"% to ",InputResults!E95*100,"%)"),"")</f>
      </c>
      <c r="I174" s="181"/>
    </row>
    <row r="175" spans="1:9" ht="51">
      <c r="A175" s="26"/>
      <c r="C175" s="96" t="s">
        <v>11</v>
      </c>
      <c r="D175" s="55" t="s">
        <v>89</v>
      </c>
      <c r="E175" s="55" t="s">
        <v>56</v>
      </c>
      <c r="F175" s="99"/>
      <c r="G175" s="100"/>
      <c r="H175" s="100"/>
      <c r="I175" s="101"/>
    </row>
    <row r="176" spans="1:9" ht="12.75">
      <c r="A176" s="12"/>
      <c r="C176" s="14" t="s">
        <v>15</v>
      </c>
      <c r="D176" s="15">
        <f>Calculations!G83</f>
        <v>0</v>
      </c>
      <c r="E176" s="16">
        <f>Calculations!H83</f>
        <v>0</v>
      </c>
      <c r="F176" s="102"/>
      <c r="G176" s="103"/>
      <c r="H176" s="104"/>
      <c r="I176" s="105"/>
    </row>
    <row r="177" spans="1:9" ht="12.75">
      <c r="A177" s="12"/>
      <c r="C177" s="14" t="s">
        <v>237</v>
      </c>
      <c r="D177" s="15">
        <f>Calculations!G84</f>
        <v>0</v>
      </c>
      <c r="E177" s="16">
        <f>Calculations!H84</f>
        <v>0</v>
      </c>
      <c r="F177" s="102"/>
      <c r="G177" s="103"/>
      <c r="H177" s="104"/>
      <c r="I177" s="105"/>
    </row>
    <row r="178" spans="1:9" ht="13.5" thickBot="1">
      <c r="A178" s="12"/>
      <c r="C178" s="20" t="s">
        <v>238</v>
      </c>
      <c r="D178" s="21">
        <f>Calculations!G85</f>
        <v>0</v>
      </c>
      <c r="E178" s="22">
        <f>Calculations!H85</f>
        <v>0</v>
      </c>
      <c r="F178" s="102"/>
      <c r="G178" s="103"/>
      <c r="H178" s="104"/>
      <c r="I178" s="105"/>
    </row>
    <row r="179" spans="3:9" ht="14.25" thickBot="1" thickTop="1">
      <c r="C179" s="17" t="s">
        <v>18</v>
      </c>
      <c r="D179" s="18">
        <f>Calculations!G86</f>
        <v>0</v>
      </c>
      <c r="E179" s="19">
        <f>Calculations!H86</f>
        <v>0</v>
      </c>
      <c r="F179" s="106"/>
      <c r="G179" s="107"/>
      <c r="H179" s="108"/>
      <c r="I179" s="109"/>
    </row>
    <row r="180" spans="3:9" ht="13.5" thickBot="1">
      <c r="C180" s="136"/>
      <c r="D180" s="51"/>
      <c r="E180" s="52"/>
      <c r="F180" s="137"/>
      <c r="G180" s="138"/>
      <c r="H180" s="137"/>
      <c r="I180" s="138"/>
    </row>
    <row r="181" spans="3:9" ht="12.75">
      <c r="C181" s="174" t="s">
        <v>313</v>
      </c>
      <c r="D181" s="175"/>
      <c r="E181" s="175"/>
      <c r="F181" s="175"/>
      <c r="G181" s="175"/>
      <c r="H181" s="175"/>
      <c r="I181" s="176"/>
    </row>
    <row r="182" spans="3:9" ht="32.25" customHeight="1">
      <c r="C182" s="177" t="s">
        <v>19</v>
      </c>
      <c r="D182" s="179" t="str">
        <f>IF(Calculations!P40="yes",Calculations!Q40,IF(Calculations!P41="yes",Calculations!Q41,IF(Calculations!P42="yes",Calculations!Q42)))</f>
        <v>Your shop continues to use manual cleaning methods for cleaning spray equipment.</v>
      </c>
      <c r="E182" s="179"/>
      <c r="F182" s="179"/>
      <c r="G182" s="179"/>
      <c r="H182" s="180"/>
      <c r="I182" s="181"/>
    </row>
    <row r="183" spans="1:9" ht="18.75" customHeight="1">
      <c r="A183" s="12"/>
      <c r="C183" s="177"/>
      <c r="D183" s="182" t="str">
        <f>IF(Calculations!P44="yes",Calculations!Q44,IF(Calculations!P45="yes",Calculations!Q45,IF(Calculations!P46="yes",Calculations!Q46)))</f>
        <v>Your shop does not use disposable spray gun cup liners.</v>
      </c>
      <c r="E183" s="182"/>
      <c r="F183" s="182"/>
      <c r="G183" s="182"/>
      <c r="H183" s="180"/>
      <c r="I183" s="181"/>
    </row>
    <row r="184" spans="1:9" ht="30.75" customHeight="1">
      <c r="A184" s="12"/>
      <c r="C184" s="178"/>
      <c r="D184" s="183" t="str">
        <f>IF(Calculations!P48="yes",Calculations!Q48,"You have not increased your use of low-VOC or waterbased cleaners.")</f>
        <v>You have not increased your use of low-VOC or waterbased cleaners.</v>
      </c>
      <c r="E184" s="183"/>
      <c r="F184" s="183"/>
      <c r="G184" s="183"/>
      <c r="H184" s="184">
        <f>IF(Calculations!P48="yes",CONCATENATE("(Usage increased from ",InputResults!D137*100,"% to ",E137*100,"%.)"),"")</f>
      </c>
      <c r="I184" s="185"/>
    </row>
    <row r="185" spans="1:9" ht="36" customHeight="1">
      <c r="A185" s="12"/>
      <c r="C185" s="13" t="s">
        <v>11</v>
      </c>
      <c r="D185" s="55" t="s">
        <v>85</v>
      </c>
      <c r="E185" s="55" t="s">
        <v>12</v>
      </c>
      <c r="F185" s="55" t="s">
        <v>378</v>
      </c>
      <c r="G185" s="139" t="s">
        <v>379</v>
      </c>
      <c r="H185" s="99"/>
      <c r="I185" s="101"/>
    </row>
    <row r="186" spans="1:9" ht="24" customHeight="1" thickBot="1">
      <c r="A186" s="12"/>
      <c r="C186" s="141" t="s">
        <v>312</v>
      </c>
      <c r="D186" s="142">
        <f>Calculations!B300</f>
        <v>0</v>
      </c>
      <c r="E186" s="143">
        <f>Calculations!C300</f>
        <v>0</v>
      </c>
      <c r="F186" s="142">
        <f>Calculations!F300</f>
        <v>0</v>
      </c>
      <c r="G186" s="144">
        <f>Calculations!G300</f>
        <v>0</v>
      </c>
      <c r="H186" s="106"/>
      <c r="I186" s="140"/>
    </row>
    <row r="187" spans="1:9" ht="12.75">
      <c r="A187" s="12"/>
      <c r="C187" s="12"/>
      <c r="D187" s="51"/>
      <c r="E187" s="52"/>
      <c r="F187" s="51"/>
      <c r="G187" s="52"/>
      <c r="H187" s="153"/>
      <c r="I187" s="154"/>
    </row>
    <row r="188" spans="3:4" ht="12.75">
      <c r="C188" s="1" t="s">
        <v>251</v>
      </c>
      <c r="D188" s="9"/>
    </row>
    <row r="189" spans="3:9" ht="13.5" thickBot="1">
      <c r="C189" s="12"/>
      <c r="D189" s="51"/>
      <c r="E189" s="52"/>
      <c r="F189" s="51"/>
      <c r="G189" s="52"/>
      <c r="H189" s="51"/>
      <c r="I189" s="52"/>
    </row>
    <row r="190" spans="3:9" ht="12.75">
      <c r="C190" s="174" t="s">
        <v>380</v>
      </c>
      <c r="D190" s="175"/>
      <c r="E190" s="175"/>
      <c r="F190" s="175"/>
      <c r="G190" s="175"/>
      <c r="H190" s="175"/>
      <c r="I190" s="176"/>
    </row>
    <row r="191" spans="3:9" ht="12.75">
      <c r="C191" s="119" t="s">
        <v>19</v>
      </c>
      <c r="D191" s="121"/>
      <c r="E191" s="121"/>
      <c r="F191" s="121"/>
      <c r="G191" s="122" t="s">
        <v>15</v>
      </c>
      <c r="H191" s="123" t="s">
        <v>237</v>
      </c>
      <c r="I191" s="124" t="s">
        <v>238</v>
      </c>
    </row>
    <row r="192" spans="3:9" ht="15">
      <c r="C192" s="116" t="s">
        <v>242</v>
      </c>
      <c r="D192" s="183" t="s">
        <v>239</v>
      </c>
      <c r="E192" s="183"/>
      <c r="F192" s="197"/>
      <c r="G192" s="114">
        <f>IF(Calculations!P6="yes","P","")</f>
      </c>
      <c r="H192" s="110">
        <f>IF(Calculations!P7="yes","P","")</f>
      </c>
      <c r="I192" s="111">
        <f>IF(Calculations!P8="yes","P","")</f>
      </c>
    </row>
    <row r="193" spans="3:9" ht="25.5" customHeight="1">
      <c r="C193" s="117" t="s">
        <v>243</v>
      </c>
      <c r="D193" s="193" t="s">
        <v>241</v>
      </c>
      <c r="E193" s="193"/>
      <c r="F193" s="194"/>
      <c r="G193" s="115">
        <f>IF(Calculations!P11="yes","P","")</f>
      </c>
      <c r="H193" s="115">
        <f>IF(Calculations!P12="yes","P","")</f>
      </c>
      <c r="I193" s="113">
        <f>IF(Calculations!P13="yes","P","")</f>
      </c>
    </row>
    <row r="194" spans="3:9" ht="15">
      <c r="C194" s="117" t="s">
        <v>244</v>
      </c>
      <c r="D194" s="191" t="s">
        <v>250</v>
      </c>
      <c r="E194" s="191"/>
      <c r="F194" s="192"/>
      <c r="G194" s="115">
        <f>IF(AND(E69="HVLP",$E$80="yes",$D$80="no"),"P","")</f>
      </c>
      <c r="H194" s="115">
        <f>IF(AND(E70="HVLP",$E$80="yes",$D$80="no"),"P","")</f>
      </c>
      <c r="I194" s="113">
        <f>IF(AND(E71="HVLP",$E$80="yes",$D$80="no"),"P","")</f>
      </c>
    </row>
    <row r="195" spans="3:9" ht="15">
      <c r="C195" s="118" t="s">
        <v>245</v>
      </c>
      <c r="D195" s="193" t="s">
        <v>240</v>
      </c>
      <c r="E195" s="193"/>
      <c r="F195" s="194"/>
      <c r="G195" s="115">
        <f>IF(Calculations!P35="yes","P","")</f>
      </c>
      <c r="H195" s="112">
        <f>IF(Calculations!P36="yes","P","")</f>
      </c>
      <c r="I195" s="113">
        <f>IF(Calculations!P37="yes","P","")</f>
      </c>
    </row>
    <row r="196" spans="3:9" s="4" customFormat="1" ht="25.5">
      <c r="C196" s="146"/>
      <c r="D196" s="126"/>
      <c r="E196" s="126"/>
      <c r="F196" s="126"/>
      <c r="G196" s="147" t="s">
        <v>324</v>
      </c>
      <c r="H196" s="147" t="s">
        <v>294</v>
      </c>
      <c r="I196" s="148" t="s">
        <v>325</v>
      </c>
    </row>
    <row r="197" spans="3:9" ht="15">
      <c r="C197" s="145" t="s">
        <v>322</v>
      </c>
      <c r="D197" t="s">
        <v>323</v>
      </c>
      <c r="G197" s="110">
        <f>IF(Calculations!P40="yes","P","")</f>
      </c>
      <c r="H197" s="110">
        <f>IF(Calculations!P44="yes","P","")</f>
      </c>
      <c r="I197" s="111">
        <f>IF(Calculations!P48="yes","P","")</f>
      </c>
    </row>
    <row r="198" spans="3:9" ht="63.75">
      <c r="C198" s="13" t="s">
        <v>11</v>
      </c>
      <c r="D198" s="55" t="s">
        <v>90</v>
      </c>
      <c r="E198" s="55" t="s">
        <v>59</v>
      </c>
      <c r="F198" s="55" t="s">
        <v>91</v>
      </c>
      <c r="G198" s="55" t="s">
        <v>61</v>
      </c>
      <c r="H198" s="55" t="s">
        <v>381</v>
      </c>
      <c r="I198" s="56" t="s">
        <v>382</v>
      </c>
    </row>
    <row r="199" spans="3:9" ht="12.75">
      <c r="C199" s="14" t="s">
        <v>15</v>
      </c>
      <c r="D199" s="15">
        <f>Calculations!B297</f>
        <v>0</v>
      </c>
      <c r="E199" s="16">
        <f>Calculations!C297</f>
        <v>0</v>
      </c>
      <c r="F199" s="15">
        <f>Calculations!D297</f>
        <v>0</v>
      </c>
      <c r="G199" s="16">
        <f>Calculations!E297</f>
        <v>0</v>
      </c>
      <c r="H199" s="15">
        <f>Calculations!F297</f>
        <v>0</v>
      </c>
      <c r="I199" s="23">
        <f>Calculations!G297</f>
        <v>0</v>
      </c>
    </row>
    <row r="200" spans="3:9" ht="12.75">
      <c r="C200" s="14" t="s">
        <v>237</v>
      </c>
      <c r="D200" s="15">
        <f>Calculations!B298</f>
        <v>0</v>
      </c>
      <c r="E200" s="16">
        <f>Calculations!C298</f>
        <v>0</v>
      </c>
      <c r="F200" s="15">
        <f>Calculations!D298</f>
        <v>0</v>
      </c>
      <c r="G200" s="16">
        <f>Calculations!E298</f>
        <v>0</v>
      </c>
      <c r="H200" s="15">
        <f>Calculations!F298</f>
        <v>0</v>
      </c>
      <c r="I200" s="23">
        <f>Calculations!G298</f>
        <v>0</v>
      </c>
    </row>
    <row r="201" spans="3:9" ht="12.75">
      <c r="C201" s="14" t="s">
        <v>238</v>
      </c>
      <c r="D201" s="15">
        <f>Calculations!B299</f>
        <v>0</v>
      </c>
      <c r="E201" s="16">
        <f>Calculations!C299</f>
        <v>0</v>
      </c>
      <c r="F201" s="15">
        <f>Calculations!D299</f>
        <v>0</v>
      </c>
      <c r="G201" s="16">
        <f>Calculations!E299</f>
        <v>0</v>
      </c>
      <c r="H201" s="15">
        <f>Calculations!F299</f>
        <v>0</v>
      </c>
      <c r="I201" s="23">
        <f>Calculations!G299</f>
        <v>0</v>
      </c>
    </row>
    <row r="202" spans="3:9" ht="13.5" thickBot="1">
      <c r="C202" s="149" t="s">
        <v>312</v>
      </c>
      <c r="D202" s="151">
        <f>Calculations!B300</f>
        <v>0</v>
      </c>
      <c r="E202" s="150">
        <f>Calculations!C300</f>
        <v>0</v>
      </c>
      <c r="F202" s="152" t="s">
        <v>253</v>
      </c>
      <c r="G202" s="152" t="s">
        <v>253</v>
      </c>
      <c r="H202" s="151">
        <f>Calculations!F300</f>
        <v>0</v>
      </c>
      <c r="I202" s="29">
        <f>Calculations!G300</f>
        <v>0</v>
      </c>
    </row>
    <row r="203" spans="3:9" ht="14.25" thickBot="1" thickTop="1">
      <c r="C203" s="17" t="s">
        <v>18</v>
      </c>
      <c r="D203" s="18">
        <f>Calculations!B301</f>
        <v>0</v>
      </c>
      <c r="E203" s="19">
        <f>Calculations!C301</f>
        <v>0</v>
      </c>
      <c r="F203" s="18">
        <f>Calculations!D301</f>
        <v>0</v>
      </c>
      <c r="G203" s="19">
        <f>Calculations!E301</f>
        <v>0</v>
      </c>
      <c r="H203" s="18">
        <f>Calculations!F301</f>
        <v>0</v>
      </c>
      <c r="I203" s="24">
        <f>Calculations!G301</f>
        <v>0</v>
      </c>
    </row>
    <row r="204" spans="3:9" ht="69.75" customHeight="1">
      <c r="C204" s="170" t="s">
        <v>407</v>
      </c>
      <c r="D204" s="170"/>
      <c r="E204" s="170"/>
      <c r="F204" s="170"/>
      <c r="G204" s="170"/>
      <c r="H204" s="170"/>
      <c r="I204" s="170"/>
    </row>
    <row r="205" spans="3:9" ht="12.75" customHeight="1">
      <c r="C205" s="162"/>
      <c r="D205" s="162"/>
      <c r="E205" s="162"/>
      <c r="F205" s="162"/>
      <c r="G205" s="162"/>
      <c r="H205" s="162"/>
      <c r="I205" s="162"/>
    </row>
    <row r="206" spans="3:7" ht="12.75">
      <c r="C206" s="1" t="s">
        <v>329</v>
      </c>
      <c r="D206" s="1"/>
      <c r="F206" s="160">
        <f>(Calculations!C7*((Calculations!B37-Calculations!G60)/Calculations!B37)+Calculations!C8*((Calculations!B38-Calculations!G61)/Calculations!B38)+Calculations!C9*(Calculations!B39-Calculations!G62)/Calculations!B39)*50*90</f>
        <v>0</v>
      </c>
      <c r="G206" t="s">
        <v>330</v>
      </c>
    </row>
    <row r="207" spans="3:8" ht="29.25" customHeight="1">
      <c r="C207" s="199" t="s">
        <v>354</v>
      </c>
      <c r="D207" s="199"/>
      <c r="E207" s="199"/>
      <c r="F207" s="199"/>
      <c r="G207" s="199"/>
      <c r="H207" s="199"/>
    </row>
  </sheetData>
  <sheetProtection password="DDE5" sheet="1" objects="1" scenarios="1"/>
  <protectedRanges>
    <protectedRange sqref="D137:E137" name="Q.19"/>
    <protectedRange sqref="D131" name="Q.18"/>
    <protectedRange sqref="D127" name="Q.17"/>
    <protectedRange sqref="D119:E119" name="Q.16"/>
    <protectedRange sqref="D108" name="Q.14"/>
    <protectedRange sqref="D93:E95" name="Q.11"/>
    <protectedRange sqref="D80:E80" name="Q.9"/>
    <protectedRange sqref="D69:E71" name="Q.8"/>
    <protectedRange sqref="D59:E61" name="Q.7"/>
    <protectedRange sqref="D53" name="Q.6"/>
    <protectedRange sqref="D47:D49" name="Q.5"/>
    <protectedRange sqref="D41:D43" name="Q.4"/>
    <protectedRange sqref="D31:D33" name="Q.3"/>
    <protectedRange sqref="D25:D27" name="Q.2"/>
    <protectedRange sqref="K2:K3" name="Shop NameDate"/>
    <protectedRange sqref="D21" name="Q.1b"/>
    <protectedRange sqref="D14:D16" name="Q.1a"/>
    <protectedRange sqref="D114:E114" name="Q.15"/>
    <protectedRange sqref="D104" name="Q.13"/>
    <protectedRange sqref="D100" name="Q.12"/>
    <protectedRange sqref="D87" name="Q.10"/>
  </protectedRanges>
  <mergeCells count="59">
    <mergeCell ref="C204:I204"/>
    <mergeCell ref="C207:H207"/>
    <mergeCell ref="E47:H47"/>
    <mergeCell ref="I57:K57"/>
    <mergeCell ref="B52:G52"/>
    <mergeCell ref="C190:I190"/>
    <mergeCell ref="C161:I161"/>
    <mergeCell ref="C171:I171"/>
    <mergeCell ref="C141:I141"/>
    <mergeCell ref="D153:I153"/>
    <mergeCell ref="B12:H12"/>
    <mergeCell ref="E31:H31"/>
    <mergeCell ref="B11:H11"/>
    <mergeCell ref="B19:H19"/>
    <mergeCell ref="B6:K6"/>
    <mergeCell ref="B8:K8"/>
    <mergeCell ref="C1:H1"/>
    <mergeCell ref="C2:H2"/>
    <mergeCell ref="C3:H3"/>
    <mergeCell ref="D194:F194"/>
    <mergeCell ref="D195:F195"/>
    <mergeCell ref="H144:I144"/>
    <mergeCell ref="D144:G144"/>
    <mergeCell ref="D152:I152"/>
    <mergeCell ref="D192:F192"/>
    <mergeCell ref="D193:F193"/>
    <mergeCell ref="D174:G174"/>
    <mergeCell ref="H174:I174"/>
    <mergeCell ref="H172:I172"/>
    <mergeCell ref="D173:G173"/>
    <mergeCell ref="H173:I173"/>
    <mergeCell ref="D142:G142"/>
    <mergeCell ref="D143:G143"/>
    <mergeCell ref="H142:I142"/>
    <mergeCell ref="H143:I143"/>
    <mergeCell ref="B99:H99"/>
    <mergeCell ref="B111:H111"/>
    <mergeCell ref="I112:K112"/>
    <mergeCell ref="I117:K117"/>
    <mergeCell ref="C152:C154"/>
    <mergeCell ref="D162:I162"/>
    <mergeCell ref="D172:G172"/>
    <mergeCell ref="C142:C144"/>
    <mergeCell ref="D154:I154"/>
    <mergeCell ref="C151:I151"/>
    <mergeCell ref="I67:K67"/>
    <mergeCell ref="I78:K78"/>
    <mergeCell ref="I91:K91"/>
    <mergeCell ref="E62:G62"/>
    <mergeCell ref="B134:G134"/>
    <mergeCell ref="C181:I181"/>
    <mergeCell ref="C182:C184"/>
    <mergeCell ref="D182:G182"/>
    <mergeCell ref="H182:I182"/>
    <mergeCell ref="D183:G183"/>
    <mergeCell ref="H183:I183"/>
    <mergeCell ref="D184:G184"/>
    <mergeCell ref="H184:I184"/>
    <mergeCell ref="I135:K135"/>
  </mergeCells>
  <dataValidations count="33">
    <dataValidation allowBlank="1" showInputMessage="1" showErrorMessage="1" prompt="Enter your shop name here." sqref="K2"/>
    <dataValidation allowBlank="1" showInputMessage="1" showErrorMessage="1" prompt="Enter the date here." sqref="K3"/>
    <dataValidation type="decimal" allowBlank="1" showInputMessage="1" showErrorMessage="1" prompt="Input a value between 50 and 100." error="Input value should be between 50 and 100%" sqref="D169 D188 D73">
      <formula1>0.5</formula1>
      <formula2>1</formula2>
    </dataValidation>
    <dataValidation type="list" allowBlank="1" showInputMessage="1" showErrorMessage="1" prompt="Select an option from the drop down list." error="Select an option from the drop down list." sqref="D119:E119 D80:E80">
      <formula1>yesno</formula1>
    </dataValidation>
    <dataValidation allowBlank="1" prompt="Select an option from the drop down list." error="Select an option from the drop down list." sqref="D75 D37 D81:E82 D97 D84"/>
    <dataValidation operator="greaterThanOrEqual" allowBlank="1" showInputMessage="1" showErrorMessage="1" prompt="Enter NA if answered 1a above OR enter number of average jobs performed each week." error="Please enter a number 1 or greater." sqref="D55:D56 D21"/>
    <dataValidation operator="greaterThanOrEqual" allowBlank="1" showInputMessage="1" sqref="D58 D136"/>
    <dataValidation type="decimal" allowBlank="1" showInputMessage="1" showErrorMessage="1" prompt="Input a value between 0 and 100." error="Input value should be between 50 and 100%" sqref="D53 E137 D93:E95 D60:D61 E59:E61">
      <formula1>0</formula1>
      <formula2>1</formula2>
    </dataValidation>
    <dataValidation allowBlank="1" showInputMessage="1" showErrorMessage="1" prompt="Enter number, value should respresent  VOC density in lbs/gal.  Default for low-VOC/waterborne primer = 2.1 lbs/gal." sqref="D47"/>
    <dataValidation allowBlank="1" showInputMessage="1" showErrorMessage="1" prompt="Enter number, value should respresent VOC density in lbs/gal.  Default for low-VOC/waterborne basecoat = 3.5 lbs/gal." sqref="D48"/>
    <dataValidation allowBlank="1" showInputMessage="1" showErrorMessage="1" prompt="Enter number, value should respresent VOC density in lbs/gal.  Default for low-VOC/waterborne clearcoat = 2.1 lbs/gal." sqref="D49"/>
    <dataValidation allowBlank="1" showInputMessage="1" showErrorMessage="1" prompt="Enter number, value should respresent density in lbs/gal.  Default for low-VOC/waterborne coatings = 8.3 lbs/gal." sqref="D41:D43"/>
    <dataValidation type="list" allowBlank="1" showInputMessage="1" showErrorMessage="1" prompt="Select an option from the drop down list." error="Select an option from the drop down list." sqref="D114:E114">
      <formula1>WashType</formula1>
    </dataValidation>
    <dataValidation allowBlank="1" sqref="A78:IV78 A36:IV36 D121:D124 E124:IV124 B98:IV98 A138:IV138 A135:IV135 A132:IV132 A128:IV128 A140:IV140 A117:IV117 A115:IV115 A112:IV112 A109:IV109 A105:IV105 A101:IV101 A120:IV120 A96:IV96 A91:IV91 A88:IV88 A85:IV85 A83:IV83 A76:IV76 A74:IV74 A72:IV72 A67:IV67 A64:IV64 A62:IV62 A57:IV57 A54:IV54 A50:IV50 A44:IV44 A38:IV38 B124:C124"/>
    <dataValidation type="list" allowBlank="1" showInputMessage="1" showErrorMessage="1" prompt="Select an option from the drop down list." error="Select an option from the drop down list." sqref="D69:E71">
      <formula1>SprayGunType</formula1>
    </dataValidation>
    <dataValidation allowBlank="1" showInputMessage="1" showErrorMessage="1" prompt="Enter number, value should respresent density in lbs/gal.  Default for low-VOC/waterbased cleaners = 8.3 lbs/gal." sqref="D127"/>
    <dataValidation type="decimal" allowBlank="1" showInputMessage="1" showErrorMessage="1" prompt="Input a value between 0 and 100." error="Input value should be between 0 and 100%" sqref="D87 D137 D59">
      <formula1>0</formula1>
      <formula2>1</formula2>
    </dataValidation>
    <dataValidation allowBlank="1" showInputMessage="1" showErrorMessage="1" prompt="Enter number, value should respresent density in lbs/gal.  Default for solvent-based thinners/cleaners = 7 lbs/gal." sqref="D104"/>
    <dataValidation allowBlank="1" showInputMessage="1" showErrorMessage="1" prompt="Enter number, value should respresent VOC content in lbs/gal.  Default for solvent-based thinners/cleaners = 7 lbs/gal." sqref="D108"/>
    <dataValidation allowBlank="1" showInputMessage="1" showErrorMessage="1" prompt="Enter number, value should respresent VOC content in lbs/gal.  Default for low-VOC/waterbased cleaners = 0.083 lbs/gal." sqref="D131"/>
    <dataValidation operator="greaterThanOrEqual" allowBlank="1" prompt="Enter NA if answered 1a above OR enter number of average jobs performed each week." error="Please enter a number 1 or greater." sqref="D133 D22"/>
    <dataValidation allowBlank="1" prompt="Input a value between 50 and 100." error="Input value should be between 50 and 100%" sqref="D139"/>
    <dataValidation allowBlank="1" showInputMessage="1" showErrorMessage="1" prompt="Enter number in gray box.  Value should represent gallons." sqref="D100"/>
    <dataValidation allowBlank="1" prompt="Input a value between 0 and 100." error="Input value should be between 50 and 100%" sqref="F59:F61"/>
    <dataValidation allowBlank="1" showInputMessage="1" showErrorMessage="1" prompt="Enter number, value should respresent VOC density in lbs/gal.  Default for primer = 4.8 lbs/gal." sqref="D31"/>
    <dataValidation allowBlank="1" showInputMessage="1" showErrorMessage="1" prompt="Enter number, value should respresent VOC density in lbs/gal.  Default for basecoat = 5.0 lbs/gal." sqref="D32"/>
    <dataValidation allowBlank="1" showInputMessage="1" showErrorMessage="1" prompt="Enter number, value should respresent VOC density in lbs/gal.  Default for clearcoat = 5.1 lbs/gal." sqref="D33"/>
    <dataValidation allowBlank="1" showInputMessage="1" showErrorMessage="1" prompt="Enter number, value should respresent density in lbs/gal.  Default for primer = 10 lbs/gal." sqref="D25"/>
    <dataValidation allowBlank="1" showInputMessage="1" showErrorMessage="1" prompt="Enter number, value should respresent density in lbs/gal.  Default for basecoat = 7.9 lbs/gal." sqref="D26"/>
    <dataValidation allowBlank="1" showInputMessage="1" showErrorMessage="1" prompt="Enter number, value should respresent density in lbs/gal.  Default for clearcoat = 8.2 lbs/gal." sqref="D27"/>
    <dataValidation allowBlank="1" showInputMessage="1" showErrorMessage="1" prompt="Enter number in gray box.  Value should represt gallons." sqref="D14:D16"/>
    <dataValidation allowBlank="1" prompt="Enter number, value should respresent density in lbs/gal.  Default for clearcoat = 8.2 lbs/gal." sqref="A28:IV28"/>
    <dataValidation allowBlank="1" prompt="Enter number, value should respresent  VOC density in lbs/gal.  Default for primer = 5.1 lbs/gal." sqref="A34:IV34"/>
  </dataValidations>
  <printOptions horizontalCentered="1"/>
  <pageMargins left="0.75" right="0.75" top="0.75" bottom="0.75" header="0.5" footer="0.5"/>
  <pageSetup fitToHeight="5" horizontalDpi="600" verticalDpi="600" orientation="landscape" scale="72" r:id="rId2"/>
  <headerFooter alignWithMargins="0">
    <oddFooter>&amp;L&amp;8This worksheet presents reduction estimates that are based on several assumptions. DfE does not guarantee these reductions in every shop scenario.
&amp;10Page &amp;P&amp;R
Version: 20 May 2008</oddFooter>
  </headerFooter>
  <rowBreaks count="6" manualBreakCount="6">
    <brk id="34" max="10" man="1"/>
    <brk id="72" max="10" man="1"/>
    <brk id="120" max="10" man="1"/>
    <brk id="138" max="10" man="1"/>
    <brk id="168" max="10" man="1"/>
    <brk id="187" max="10" man="1"/>
  </rowBreaks>
  <drawing r:id="rId1"/>
</worksheet>
</file>

<file path=xl/worksheets/sheet2.xml><?xml version="1.0" encoding="utf-8"?>
<worksheet xmlns="http://schemas.openxmlformats.org/spreadsheetml/2006/main" xmlns:r="http://schemas.openxmlformats.org/officeDocument/2006/relationships">
  <dimension ref="A1:AL340"/>
  <sheetViews>
    <sheetView workbookViewId="0" topLeftCell="A341">
      <selection activeCell="A341" sqref="A341"/>
    </sheetView>
  </sheetViews>
  <sheetFormatPr defaultColWidth="9.140625" defaultRowHeight="12.75"/>
  <cols>
    <col min="1" max="1" width="16.8515625" style="4" customWidth="1"/>
    <col min="2" max="2" width="15.140625" style="4" customWidth="1"/>
    <col min="3" max="3" width="14.140625" style="4" customWidth="1"/>
    <col min="4" max="4" width="15.28125" style="4" customWidth="1"/>
    <col min="5" max="5" width="11.57421875" style="4" customWidth="1"/>
    <col min="6" max="7" width="12.00390625" style="4" bestFit="1" customWidth="1"/>
    <col min="8" max="8" width="14.8515625" style="4" customWidth="1"/>
    <col min="9" max="9" width="15.28125" style="4" customWidth="1"/>
    <col min="10" max="10" width="12.8515625" style="4" customWidth="1"/>
    <col min="11" max="11" width="15.7109375" style="4" customWidth="1"/>
    <col min="12" max="12" width="13.140625" style="4" customWidth="1"/>
    <col min="13" max="13" width="12.28125" style="4" customWidth="1"/>
    <col min="14" max="14" width="12.421875" style="4" customWidth="1"/>
    <col min="15" max="16384" width="9.140625" style="4" customWidth="1"/>
  </cols>
  <sheetData>
    <row r="1" spans="1:13" ht="18" hidden="1">
      <c r="A1" s="2" t="s">
        <v>5</v>
      </c>
      <c r="M1" s="2" t="s">
        <v>5</v>
      </c>
    </row>
    <row r="2" ht="12.75" hidden="1"/>
    <row r="3" spans="1:16" ht="15.75" hidden="1">
      <c r="A3" s="3" t="s">
        <v>33</v>
      </c>
      <c r="M3" s="3" t="s">
        <v>6</v>
      </c>
      <c r="P3" s="3" t="s">
        <v>20</v>
      </c>
    </row>
    <row r="4" spans="1:38" ht="12.75" hidden="1">
      <c r="A4" s="1"/>
      <c r="M4" s="6" t="s">
        <v>262</v>
      </c>
      <c r="Z4" s="42"/>
      <c r="AA4" s="42"/>
      <c r="AB4" s="42"/>
      <c r="AC4" s="42"/>
      <c r="AD4" s="42"/>
      <c r="AE4" s="42"/>
      <c r="AF4" s="42"/>
      <c r="AG4" s="42"/>
      <c r="AH4" s="42"/>
      <c r="AI4" s="42"/>
      <c r="AJ4" s="42"/>
      <c r="AK4" s="42"/>
      <c r="AL4" s="42"/>
    </row>
    <row r="5" spans="1:16" ht="12.75" hidden="1">
      <c r="A5" s="6" t="s">
        <v>46</v>
      </c>
      <c r="C5" s="63">
        <f>InputResults!D21</f>
        <v>10</v>
      </c>
      <c r="D5" s="4" t="s">
        <v>48</v>
      </c>
      <c r="I5" s="6" t="s">
        <v>64</v>
      </c>
      <c r="M5" s="4" t="s">
        <v>7</v>
      </c>
      <c r="P5" s="6" t="s">
        <v>226</v>
      </c>
    </row>
    <row r="6" spans="1:17" ht="12.75" hidden="1">
      <c r="A6" s="1" t="s">
        <v>45</v>
      </c>
      <c r="B6" s="4">
        <v>1</v>
      </c>
      <c r="C6" s="4">
        <f>0.264172*B6</f>
        <v>0.264172</v>
      </c>
      <c r="D6" s="4" t="s">
        <v>101</v>
      </c>
      <c r="I6" s="1" t="s">
        <v>8</v>
      </c>
      <c r="J6" s="64">
        <v>0.4</v>
      </c>
      <c r="M6" s="4" t="s">
        <v>8</v>
      </c>
      <c r="P6" s="4" t="str">
        <f>IF(InputResults!E59&gt;InputResults!D59,"yes","no")</f>
        <v>no</v>
      </c>
      <c r="Q6" s="4" t="s">
        <v>227</v>
      </c>
    </row>
    <row r="7" spans="1:17" ht="12.75" hidden="1">
      <c r="A7" s="1" t="s">
        <v>15</v>
      </c>
      <c r="B7" s="64">
        <v>0.6589</v>
      </c>
      <c r="C7" s="76">
        <f>IF($C$5=0,InputResults!D14,$C$6*$C$5*B7)</f>
        <v>1.7406293080000004</v>
      </c>
      <c r="D7" s="4" t="s">
        <v>49</v>
      </c>
      <c r="E7" s="76">
        <f>+C7*InputResults!D59</f>
        <v>0</v>
      </c>
      <c r="F7" s="4" t="s">
        <v>360</v>
      </c>
      <c r="I7" s="1" t="s">
        <v>7</v>
      </c>
      <c r="J7" s="64">
        <v>0.49</v>
      </c>
      <c r="P7" s="4" t="str">
        <f>IF(InputResults!E60&gt;InputResults!D60,"yes","no")</f>
        <v>no</v>
      </c>
      <c r="Q7" s="4" t="s">
        <v>228</v>
      </c>
    </row>
    <row r="8" spans="1:17" ht="25.5" hidden="1">
      <c r="A8" s="1" t="s">
        <v>16</v>
      </c>
      <c r="B8" s="64">
        <v>0.0981</v>
      </c>
      <c r="C8" s="76">
        <f>IF($C$5=0,InputResults!D15,$C$6*$C$5*B8)</f>
        <v>0.25915273200000005</v>
      </c>
      <c r="E8" s="76">
        <f>+C8*InputResults!D60</f>
        <v>0</v>
      </c>
      <c r="I8" s="57" t="s">
        <v>47</v>
      </c>
      <c r="J8" s="64">
        <v>0.61</v>
      </c>
      <c r="P8" s="4" t="str">
        <f>IF(InputResults!E61&gt;InputResults!D61,"yes","no")</f>
        <v>no</v>
      </c>
      <c r="Q8" s="4" t="s">
        <v>229</v>
      </c>
    </row>
    <row r="9" spans="1:13" ht="12.75" hidden="1">
      <c r="A9" s="1" t="s">
        <v>17</v>
      </c>
      <c r="B9" s="64">
        <v>0.243</v>
      </c>
      <c r="C9" s="76">
        <f>IF($C$5=0,InputResults!D16,$C$6*$C$5*B9)</f>
        <v>0.64193796</v>
      </c>
      <c r="E9" s="76">
        <f>+C9*InputResults!D61</f>
        <v>0</v>
      </c>
      <c r="I9" s="1" t="s">
        <v>97</v>
      </c>
      <c r="J9" s="64">
        <v>0.3</v>
      </c>
      <c r="M9" s="6" t="s">
        <v>263</v>
      </c>
    </row>
    <row r="10" spans="1:16" ht="12.75" hidden="1">
      <c r="A10" s="1"/>
      <c r="B10" s="64"/>
      <c r="C10" s="76"/>
      <c r="E10" s="76"/>
      <c r="I10" s="1"/>
      <c r="J10" s="64"/>
      <c r="M10" s="4" t="s">
        <v>9</v>
      </c>
      <c r="P10" s="6" t="s">
        <v>222</v>
      </c>
    </row>
    <row r="11" spans="1:17" ht="12.75" hidden="1">
      <c r="A11" s="6" t="s">
        <v>113</v>
      </c>
      <c r="B11" s="64"/>
      <c r="C11" s="88" t="s">
        <v>70</v>
      </c>
      <c r="D11" s="88" t="s">
        <v>116</v>
      </c>
      <c r="E11" s="76"/>
      <c r="I11" s="1"/>
      <c r="J11" s="64"/>
      <c r="M11" s="4" t="s">
        <v>10</v>
      </c>
      <c r="P11" s="4" t="str">
        <f>IF(AND(S24="conv",Q24="HVLP"),"yes","no")</f>
        <v>no</v>
      </c>
      <c r="Q11" s="4" t="s">
        <v>21</v>
      </c>
    </row>
    <row r="12" spans="1:17" ht="12.75" hidden="1">
      <c r="A12" s="1" t="s">
        <v>15</v>
      </c>
      <c r="C12" s="76">
        <f>+(1-InputResults!D59)*InputResults!D25+InputResults!D59*InputResults!D41</f>
        <v>10</v>
      </c>
      <c r="D12" s="76">
        <f>+(1-InputResults!E59)*InputResults!D25+InputResults!E59*InputResults!D41</f>
        <v>10</v>
      </c>
      <c r="E12" s="76"/>
      <c r="I12" s="1"/>
      <c r="J12" s="64"/>
      <c r="P12" s="4" t="str">
        <f>IF(AND(S25="conv",Q25="HVLP"),"yes","no")</f>
        <v>no</v>
      </c>
      <c r="Q12" s="4" t="s">
        <v>22</v>
      </c>
    </row>
    <row r="13" spans="1:17" ht="12.75" hidden="1">
      <c r="A13" s="1" t="s">
        <v>16</v>
      </c>
      <c r="C13" s="76">
        <f>+(1-InputResults!D60)*InputResults!D26+InputResults!D60*InputResults!D42</f>
        <v>7.9</v>
      </c>
      <c r="D13" s="76">
        <f>+(1-InputResults!E60)*InputResults!D26+InputResults!E60*InputResults!D42</f>
        <v>7.9</v>
      </c>
      <c r="E13" s="76"/>
      <c r="I13" s="1"/>
      <c r="J13" s="64"/>
      <c r="M13" s="6" t="s">
        <v>264</v>
      </c>
      <c r="P13" s="4" t="str">
        <f>IF(AND(S26="conv",Q26="HVLP"),"yes","no")</f>
        <v>no</v>
      </c>
      <c r="Q13" s="4" t="s">
        <v>23</v>
      </c>
    </row>
    <row r="14" spans="1:13" ht="12.75" hidden="1">
      <c r="A14" s="1" t="s">
        <v>17</v>
      </c>
      <c r="C14" s="76">
        <f>+(1-InputResults!D61)*InputResults!D27+InputResults!D61*InputResults!D43</f>
        <v>8.2</v>
      </c>
      <c r="D14" s="76">
        <f>+(1-InputResults!E61)*InputResults!D27+InputResults!E61*InputResults!D43</f>
        <v>8.2</v>
      </c>
      <c r="E14" s="76"/>
      <c r="I14" s="1"/>
      <c r="J14" s="64"/>
      <c r="M14" s="64">
        <v>0</v>
      </c>
    </row>
    <row r="15" spans="1:17" ht="12.75" hidden="1">
      <c r="A15" s="1"/>
      <c r="C15" s="64"/>
      <c r="E15" s="76"/>
      <c r="I15" s="1"/>
      <c r="J15" s="64"/>
      <c r="M15" s="64">
        <v>0.1</v>
      </c>
      <c r="P15" s="4" t="str">
        <f>IF(AND(Q24="HVLP",S24="HVLP"),"yes","no")</f>
        <v>no</v>
      </c>
      <c r="Q15" s="4" t="s">
        <v>24</v>
      </c>
    </row>
    <row r="16" spans="1:17" ht="12.75" hidden="1">
      <c r="A16" s="6" t="s">
        <v>114</v>
      </c>
      <c r="E16" s="76"/>
      <c r="I16" s="1"/>
      <c r="J16" s="64"/>
      <c r="M16" s="66">
        <v>0.15</v>
      </c>
      <c r="P16" s="4" t="str">
        <f>IF(AND(Q25="HVLP",S25="HVLP"),"yes","no")</f>
        <v>no</v>
      </c>
      <c r="Q16" s="4" t="s">
        <v>25</v>
      </c>
    </row>
    <row r="17" spans="1:17" ht="12.75" hidden="1">
      <c r="A17" s="1" t="s">
        <v>15</v>
      </c>
      <c r="C17" s="86">
        <f>+(1-InputResults!D59)*InputResults!D31+InputResults!D59*InputResults!D47</f>
        <v>4.8</v>
      </c>
      <c r="D17" s="76">
        <f>+(1-InputResults!E59)*InputResults!D31+InputResults!E59*InputResults!D47</f>
        <v>4.8</v>
      </c>
      <c r="E17" s="76"/>
      <c r="I17" s="1"/>
      <c r="J17" s="64"/>
      <c r="M17" s="64">
        <v>0.2</v>
      </c>
      <c r="P17" s="4" t="str">
        <f>IF(AND(Q26="HVLP",S26="HVLP"),"yes","no")</f>
        <v>no</v>
      </c>
      <c r="Q17" s="4" t="s">
        <v>26</v>
      </c>
    </row>
    <row r="18" spans="1:13" ht="12.75" hidden="1">
      <c r="A18" s="1" t="s">
        <v>16</v>
      </c>
      <c r="C18" s="86">
        <f>+(1-InputResults!D60)*InputResults!D32+InputResults!D60*InputResults!D48</f>
        <v>5</v>
      </c>
      <c r="D18" s="76">
        <f>+(1-InputResults!E60)*InputResults!D32+InputResults!E60*InputResults!D48</f>
        <v>5</v>
      </c>
      <c r="E18" s="76"/>
      <c r="I18" s="1"/>
      <c r="J18" s="64"/>
      <c r="M18" s="64">
        <v>0.25</v>
      </c>
    </row>
    <row r="19" spans="1:17" ht="12.75" hidden="1">
      <c r="A19" s="1" t="s">
        <v>17</v>
      </c>
      <c r="C19" s="86">
        <f>+(1-InputResults!D61)*InputResults!D33+InputResults!D61*InputResults!D49</f>
        <v>5.1</v>
      </c>
      <c r="D19" s="76">
        <f>+(1-InputResults!E61)*InputResults!D33+InputResults!E61*InputResults!D49</f>
        <v>5.1</v>
      </c>
      <c r="E19" s="76"/>
      <c r="I19" s="1"/>
      <c r="J19" s="64"/>
      <c r="M19" s="64">
        <v>0.3</v>
      </c>
      <c r="P19" s="4" t="str">
        <f>IF(AND(Q24="conv",S24="conv"),"yes","no")</f>
        <v>yes</v>
      </c>
      <c r="Q19" s="4" t="s">
        <v>234</v>
      </c>
    </row>
    <row r="20" spans="1:17" ht="12.75" hidden="1">
      <c r="A20" s="1"/>
      <c r="C20" s="86"/>
      <c r="D20" s="76"/>
      <c r="E20" s="76"/>
      <c r="J20" s="64"/>
      <c r="M20" s="66">
        <v>0.35</v>
      </c>
      <c r="P20" s="4" t="str">
        <f>IF(AND(Q25="conv",S25="conv"),"yes","no")</f>
        <v>yes</v>
      </c>
      <c r="Q20" s="4" t="s">
        <v>235</v>
      </c>
    </row>
    <row r="21" spans="1:17" ht="12.75" hidden="1">
      <c r="A21" s="1" t="s">
        <v>275</v>
      </c>
      <c r="C21" s="86"/>
      <c r="D21" s="76" t="s">
        <v>272</v>
      </c>
      <c r="G21" s="88" t="s">
        <v>70</v>
      </c>
      <c r="H21" s="88" t="s">
        <v>345</v>
      </c>
      <c r="J21" s="64"/>
      <c r="M21" s="64">
        <v>0.4</v>
      </c>
      <c r="P21" s="4" t="str">
        <f>IF(AND(Q26="conv",S26="conv"),"yes","no")</f>
        <v>yes</v>
      </c>
      <c r="Q21" s="4" t="s">
        <v>236</v>
      </c>
    </row>
    <row r="22" spans="1:13" ht="12.75" hidden="1">
      <c r="A22" s="1" t="s">
        <v>276</v>
      </c>
      <c r="C22" s="64">
        <v>0.2</v>
      </c>
      <c r="D22" s="130" t="s">
        <v>271</v>
      </c>
      <c r="E22" s="6" t="s">
        <v>343</v>
      </c>
      <c r="F22" s="64"/>
      <c r="G22" s="76">
        <f>(1-InputResults!D137)*InputResults!D104+InputResults!D137*InputResults!D127</f>
        <v>7</v>
      </c>
      <c r="H22" s="76">
        <f>(1-InputResults!E137)*InputResults!D104+InputResults!E137*InputResults!D127</f>
        <v>7</v>
      </c>
      <c r="J22" s="64"/>
      <c r="M22" s="66">
        <v>0.45</v>
      </c>
    </row>
    <row r="23" spans="1:21" ht="12.75" hidden="1">
      <c r="A23" s="1"/>
      <c r="C23" s="86"/>
      <c r="D23" s="76"/>
      <c r="E23" s="6" t="s">
        <v>344</v>
      </c>
      <c r="G23" s="76">
        <f>(1-InputResults!D137)*InputResults!D108+InputResults!D137*InputResults!D131</f>
        <v>7</v>
      </c>
      <c r="H23" s="76">
        <f>+(1-InputResults!E137)*InputResults!D108+InputResults!E137*InputResults!D131</f>
        <v>7</v>
      </c>
      <c r="I23" s="76"/>
      <c r="J23" s="64"/>
      <c r="M23" s="64">
        <v>0.5</v>
      </c>
      <c r="P23" s="4" t="s">
        <v>27</v>
      </c>
      <c r="Q23" s="4" t="s">
        <v>30</v>
      </c>
      <c r="R23" s="4" t="s">
        <v>76</v>
      </c>
      <c r="S23" s="4" t="s">
        <v>31</v>
      </c>
      <c r="T23" s="4" t="s">
        <v>76</v>
      </c>
      <c r="U23" s="4" t="s">
        <v>32</v>
      </c>
    </row>
    <row r="24" spans="1:21" ht="12.75" hidden="1">
      <c r="A24" s="1" t="s">
        <v>269</v>
      </c>
      <c r="C24" s="86"/>
      <c r="E24" s="76"/>
      <c r="F24" s="1"/>
      <c r="H24" s="76"/>
      <c r="I24" s="76"/>
      <c r="J24" s="64"/>
      <c r="M24" s="66">
        <v>0.55</v>
      </c>
      <c r="P24" s="4" t="s">
        <v>14</v>
      </c>
      <c r="Q24" s="4" t="str">
        <f>InputResults!E69</f>
        <v>Conv</v>
      </c>
      <c r="R24" s="4" t="str">
        <f>IF(InputResults!$E$80="yes","yes","no")</f>
        <v>no</v>
      </c>
      <c r="S24" s="4" t="str">
        <f>InputResults!D69</f>
        <v>Conv</v>
      </c>
      <c r="T24" s="4" t="str">
        <f>IF(InputResults!$D$80="yes","yes","no")</f>
        <v>no</v>
      </c>
      <c r="U24" s="4" t="str">
        <f>IF(AND(S24="conv",Q24="HVLP"),"yes","no")</f>
        <v>no</v>
      </c>
    </row>
    <row r="25" spans="1:21" ht="12.75" hidden="1">
      <c r="A25" s="1" t="s">
        <v>270</v>
      </c>
      <c r="C25" s="64">
        <v>0.5</v>
      </c>
      <c r="D25" s="130" t="s">
        <v>274</v>
      </c>
      <c r="E25" s="76"/>
      <c r="F25" s="1"/>
      <c r="H25" s="64"/>
      <c r="J25" s="64"/>
      <c r="M25" s="64">
        <v>0.6</v>
      </c>
      <c r="P25" s="4" t="s">
        <v>28</v>
      </c>
      <c r="Q25" s="4" t="str">
        <f>InputResults!E70</f>
        <v>Conv</v>
      </c>
      <c r="R25" s="4" t="str">
        <f>IF(InputResults!$E$80="yes","yes","no")</f>
        <v>no</v>
      </c>
      <c r="S25" s="4" t="str">
        <f>InputResults!D70</f>
        <v>Conv</v>
      </c>
      <c r="T25" s="4" t="str">
        <f>IF(InputResults!$D$80="yes","yes","no")</f>
        <v>no</v>
      </c>
      <c r="U25" s="4" t="str">
        <f>IF(AND(S25="conv",Q25="HVLP"),"yes","no")</f>
        <v>no</v>
      </c>
    </row>
    <row r="26" spans="1:21" ht="12.75" hidden="1">
      <c r="A26" s="1" t="s">
        <v>273</v>
      </c>
      <c r="C26" s="64">
        <v>0.2</v>
      </c>
      <c r="D26" s="130" t="s">
        <v>274</v>
      </c>
      <c r="E26" s="76"/>
      <c r="J26" s="64"/>
      <c r="M26" s="66">
        <v>0.65</v>
      </c>
      <c r="P26" s="4" t="s">
        <v>29</v>
      </c>
      <c r="Q26" s="4" t="str">
        <f>InputResults!E71</f>
        <v>Conv</v>
      </c>
      <c r="R26" s="4" t="str">
        <f>IF(InputResults!$E$80="yes","yes","no")</f>
        <v>no</v>
      </c>
      <c r="S26" s="4" t="str">
        <f>InputResults!D71</f>
        <v>Conv</v>
      </c>
      <c r="T26" s="4" t="str">
        <f>IF(InputResults!$D$80="yes","yes","no")</f>
        <v>no</v>
      </c>
      <c r="U26" s="4" t="str">
        <f>IF(AND(S26="conv",Q26="HVLP"),"yes","no")</f>
        <v>no</v>
      </c>
    </row>
    <row r="27" spans="1:13" ht="12.75" hidden="1">
      <c r="A27" s="1"/>
      <c r="C27" s="64"/>
      <c r="D27" s="130"/>
      <c r="E27" s="76"/>
      <c r="F27" s="1"/>
      <c r="H27" s="86"/>
      <c r="I27" s="76"/>
      <c r="J27" s="64"/>
      <c r="M27" s="64">
        <v>0.7</v>
      </c>
    </row>
    <row r="28" spans="1:16" ht="12.75" hidden="1">
      <c r="A28" s="1" t="s">
        <v>294</v>
      </c>
      <c r="C28" s="64"/>
      <c r="D28" s="130"/>
      <c r="E28" s="76"/>
      <c r="F28" s="1"/>
      <c r="H28" s="86"/>
      <c r="I28" s="76"/>
      <c r="J28" s="64"/>
      <c r="M28" s="64">
        <v>0.75</v>
      </c>
      <c r="P28" s="6" t="s">
        <v>223</v>
      </c>
    </row>
    <row r="29" spans="1:17" ht="12.75" hidden="1">
      <c r="A29" s="1" t="s">
        <v>270</v>
      </c>
      <c r="C29" s="64">
        <v>0.35</v>
      </c>
      <c r="D29" s="130" t="s">
        <v>295</v>
      </c>
      <c r="E29" s="76"/>
      <c r="F29" s="1"/>
      <c r="H29" s="86"/>
      <c r="I29" s="76"/>
      <c r="J29" s="64"/>
      <c r="M29" s="64">
        <v>0.8</v>
      </c>
      <c r="P29" s="4" t="str">
        <f>IF(AND(InputResults!E80="yes",InputResults!D80="yes"),"yes","no")</f>
        <v>no</v>
      </c>
      <c r="Q29" s="4" t="s">
        <v>246</v>
      </c>
    </row>
    <row r="30" spans="1:17" ht="12.75" hidden="1">
      <c r="A30" s="1"/>
      <c r="C30" s="86"/>
      <c r="D30" s="76"/>
      <c r="E30" s="76"/>
      <c r="I30" s="1"/>
      <c r="J30" s="64"/>
      <c r="M30" s="66">
        <v>0.85</v>
      </c>
      <c r="P30" s="4" t="str">
        <f>IF(InputResults!E80="no","yes","no")</f>
        <v>yes</v>
      </c>
      <c r="Q30" s="4" t="s">
        <v>247</v>
      </c>
    </row>
    <row r="31" spans="1:17" ht="12.75" hidden="1">
      <c r="A31" s="1"/>
      <c r="B31" s="64"/>
      <c r="C31" s="76"/>
      <c r="E31" s="76"/>
      <c r="I31" s="1"/>
      <c r="J31" s="64"/>
      <c r="M31" s="64">
        <v>0.9</v>
      </c>
      <c r="P31" s="4" t="str">
        <f>IF(AND(InputResults!E80="yes",InputResults!D80="no"),"yes","no")</f>
        <v>no</v>
      </c>
      <c r="Q31" s="4" t="s">
        <v>248</v>
      </c>
    </row>
    <row r="32" spans="1:17" ht="12.75" hidden="1">
      <c r="A32" s="1"/>
      <c r="B32" s="64"/>
      <c r="C32" s="76"/>
      <c r="E32" s="76"/>
      <c r="I32" s="1"/>
      <c r="J32" s="64"/>
      <c r="M32" s="64">
        <v>0.95</v>
      </c>
      <c r="P32" s="4" t="str">
        <f>IF(AND(InputResults!E69="Conv",InputResults!E70="Conv",InputResults!E71="Conv"),"no","yes")</f>
        <v>no</v>
      </c>
      <c r="Q32" s="4" t="s">
        <v>249</v>
      </c>
    </row>
    <row r="33" spans="1:13" ht="12.75" hidden="1">
      <c r="A33" s="6" t="s">
        <v>130</v>
      </c>
      <c r="M33" s="64">
        <v>1</v>
      </c>
    </row>
    <row r="34" spans="1:16" ht="12.75" hidden="1">
      <c r="A34" s="6"/>
      <c r="P34" s="6" t="s">
        <v>230</v>
      </c>
    </row>
    <row r="35" spans="1:17" ht="12.75" hidden="1">
      <c r="A35" s="1" t="s">
        <v>131</v>
      </c>
      <c r="M35" s="6" t="s">
        <v>265</v>
      </c>
      <c r="P35" s="4" t="str">
        <f>IF(InputResults!D93&lt;InputResults!E93,"yes","no")</f>
        <v>no</v>
      </c>
      <c r="Q35" s="4" t="s">
        <v>231</v>
      </c>
    </row>
    <row r="36" spans="1:17" ht="25.5" customHeight="1" hidden="1">
      <c r="A36" s="67"/>
      <c r="B36" s="68" t="s">
        <v>34</v>
      </c>
      <c r="C36" s="68" t="s">
        <v>40</v>
      </c>
      <c r="D36" s="68" t="s">
        <v>35</v>
      </c>
      <c r="E36" s="68" t="s">
        <v>128</v>
      </c>
      <c r="F36" s="68" t="s">
        <v>36</v>
      </c>
      <c r="G36" s="68" t="s">
        <v>127</v>
      </c>
      <c r="H36" s="68" t="s">
        <v>37</v>
      </c>
      <c r="I36" s="68" t="s">
        <v>38</v>
      </c>
      <c r="J36" s="68" t="s">
        <v>39</v>
      </c>
      <c r="K36" s="68" t="s">
        <v>44</v>
      </c>
      <c r="M36" s="4" t="s">
        <v>261</v>
      </c>
      <c r="P36" s="4" t="str">
        <f>IF(InputResults!D94&lt;InputResults!E94,"yes","no")</f>
        <v>no</v>
      </c>
      <c r="Q36" s="4" t="s">
        <v>232</v>
      </c>
    </row>
    <row r="37" spans="1:17" ht="12.75" hidden="1">
      <c r="A37" s="69" t="s">
        <v>15</v>
      </c>
      <c r="B37" s="75">
        <f>C7*50*C12</f>
        <v>870.3146540000001</v>
      </c>
      <c r="C37" s="70">
        <f>IF(S24="conv",$J$6,(IF(AND(S24="HVLP",T24="yes"),$J$8,(IF(AND(S24="HVLP",T24="no"),$J$7,(IF(S24="RP",$J$9)))))))</f>
        <v>0.4</v>
      </c>
      <c r="D37" s="75">
        <f>B37*C37</f>
        <v>348.12586160000006</v>
      </c>
      <c r="E37" s="75">
        <f>B37-D37</f>
        <v>522.1887924</v>
      </c>
      <c r="F37" s="70">
        <f>IF(Q24="Conv",$J$6,(IF(AND(Q24="HVLP",U24="no",T24="yes"),$J$8,(IF(AND(Q24="HVLP"),$J$7,(IF(Q24="RP",$J$9)))))))</f>
        <v>0.4</v>
      </c>
      <c r="G37" s="75">
        <f>D37/F37</f>
        <v>870.3146540000001</v>
      </c>
      <c r="H37" s="75">
        <f>G37-D37</f>
        <v>522.1887924</v>
      </c>
      <c r="I37" s="75">
        <f>B37-G37</f>
        <v>0</v>
      </c>
      <c r="J37" s="75">
        <f>E37-H37</f>
        <v>0</v>
      </c>
      <c r="K37" s="70">
        <f>I37/B37</f>
        <v>0</v>
      </c>
      <c r="M37" s="4" t="s">
        <v>266</v>
      </c>
      <c r="P37" s="4" t="str">
        <f>IF(InputResults!D95&lt;InputResults!E95,"yes","no")</f>
        <v>no</v>
      </c>
      <c r="Q37" s="4" t="s">
        <v>233</v>
      </c>
    </row>
    <row r="38" spans="1:13" ht="12.75" hidden="1">
      <c r="A38" s="69" t="s">
        <v>16</v>
      </c>
      <c r="B38" s="75">
        <f>C8*50*C13</f>
        <v>102.36532914000003</v>
      </c>
      <c r="C38" s="70">
        <f>IF(S25="conv",$J$6,(IF(AND(S25="HVLP",T25="yes"),$J$8,(IF(AND(S25="HVLP",T25="no"),$J$7,(IF(S25="RP",$J$9)))))))</f>
        <v>0.4</v>
      </c>
      <c r="D38" s="75">
        <f>B38*C38</f>
        <v>40.94613165600001</v>
      </c>
      <c r="E38" s="75">
        <f>B38-D38</f>
        <v>61.419197484000016</v>
      </c>
      <c r="F38" s="70">
        <f>IF(Q25="Conv",$J$6,(IF(AND(Q25="HVLP",U25="no",T25="yes"),$J$8,(IF(AND(Q25="HVLP"),$J$7,(IF(Q25="RP",$J$9)))))))</f>
        <v>0.4</v>
      </c>
      <c r="G38" s="75">
        <f>D38/F38</f>
        <v>102.36532914000003</v>
      </c>
      <c r="H38" s="75">
        <f>G38-D38</f>
        <v>61.419197484000016</v>
      </c>
      <c r="I38" s="75">
        <f>B38-G38</f>
        <v>0</v>
      </c>
      <c r="J38" s="75">
        <f>E38-H38</f>
        <v>0</v>
      </c>
      <c r="K38" s="70">
        <f>I38/B38</f>
        <v>0</v>
      </c>
      <c r="M38" s="64"/>
    </row>
    <row r="39" spans="1:16" ht="12.75" hidden="1">
      <c r="A39" s="69" t="s">
        <v>17</v>
      </c>
      <c r="B39" s="75">
        <f>C9*50*C14</f>
        <v>263.1945636</v>
      </c>
      <c r="C39" s="70">
        <f>IF(S26="conv",$J$6,(IF(AND(S26="HVLP",T26="yes"),$J$8,(IF(AND(S26="HVLP",T26="no"),$J$7,(IF(S26="RP",$J$9)))))))</f>
        <v>0.4</v>
      </c>
      <c r="D39" s="75">
        <f>B39*C39</f>
        <v>105.27782544</v>
      </c>
      <c r="E39" s="75">
        <f>B39-D39</f>
        <v>157.91673815999997</v>
      </c>
      <c r="F39" s="70">
        <f>IF(Q26="Conv",$J$6,(IF(AND(Q26="HVLP",U26="no",T26="yes"),$J$8,(IF(AND(Q26="HVLP"),$J$7,(IF(Q26="RP",$J$9)))))))</f>
        <v>0.4</v>
      </c>
      <c r="G39" s="75">
        <f>D39/F39</f>
        <v>263.1945636</v>
      </c>
      <c r="H39" s="75">
        <f>G39-D39</f>
        <v>157.91673815999997</v>
      </c>
      <c r="I39" s="75">
        <f>B39-G39</f>
        <v>0</v>
      </c>
      <c r="J39" s="75">
        <f>E39-H39</f>
        <v>0</v>
      </c>
      <c r="K39" s="70">
        <f>I39/B39</f>
        <v>0</v>
      </c>
      <c r="M39" s="64"/>
      <c r="P39" s="6" t="s">
        <v>314</v>
      </c>
    </row>
    <row r="40" spans="1:17" ht="12.75" hidden="1">
      <c r="A40" s="69" t="s">
        <v>18</v>
      </c>
      <c r="B40" s="75">
        <f>SUM(B37:B39)</f>
        <v>1235.8745467400001</v>
      </c>
      <c r="C40" s="67"/>
      <c r="D40" s="67"/>
      <c r="E40" s="67"/>
      <c r="F40" s="67"/>
      <c r="G40" s="75"/>
      <c r="H40" s="75"/>
      <c r="I40" s="75">
        <f>SUM(I37:I39)</f>
        <v>0</v>
      </c>
      <c r="J40" s="75"/>
      <c r="K40" s="70">
        <f>I40/B40</f>
        <v>0</v>
      </c>
      <c r="M40" s="64"/>
      <c r="P40" s="4" t="str">
        <f>IF(AND(InputResults!D114="Manual",InputResults!E114="Automatic"),"yes","no")</f>
        <v>no</v>
      </c>
      <c r="Q40" s="4" t="s">
        <v>315</v>
      </c>
    </row>
    <row r="41" spans="1:17" ht="12.75" hidden="1">
      <c r="A41" s="1"/>
      <c r="P41" s="4" t="str">
        <f>IF(AND(InputResults!D114="Automatic",InputResults!E114="Automatic"),"yes","no")</f>
        <v>no</v>
      </c>
      <c r="Q41" s="4" t="s">
        <v>316</v>
      </c>
    </row>
    <row r="42" spans="1:17" ht="12.75" hidden="1">
      <c r="A42" s="1" t="s">
        <v>132</v>
      </c>
      <c r="P42" s="4" t="str">
        <f>IF(AND(InputResults!D114="Manual",InputResults!E114="Manual"),"yes","no")</f>
        <v>yes</v>
      </c>
      <c r="Q42" s="4" t="s">
        <v>317</v>
      </c>
    </row>
    <row r="43" spans="1:8" ht="38.25" hidden="1">
      <c r="A43" s="67"/>
      <c r="B43" s="68" t="s">
        <v>102</v>
      </c>
      <c r="C43" s="68" t="s">
        <v>103</v>
      </c>
      <c r="D43" s="68" t="s">
        <v>134</v>
      </c>
      <c r="E43" s="87" t="s">
        <v>115</v>
      </c>
      <c r="F43" s="68" t="s">
        <v>124</v>
      </c>
      <c r="G43" s="68" t="s">
        <v>42</v>
      </c>
      <c r="H43" s="68" t="s">
        <v>125</v>
      </c>
    </row>
    <row r="44" spans="1:17" ht="12.75" hidden="1">
      <c r="A44" s="69" t="s">
        <v>15</v>
      </c>
      <c r="B44" s="70">
        <f>InputResults!D31/InputResults!D25</f>
        <v>0.48</v>
      </c>
      <c r="C44" s="70">
        <f>+InputResults!D47/InputResults!D41</f>
        <v>0.25301204819277107</v>
      </c>
      <c r="D44" s="75">
        <f>C7*50*C17</f>
        <v>417.75103392000005</v>
      </c>
      <c r="E44" s="75">
        <f>+G37/C12</f>
        <v>87.03146540000002</v>
      </c>
      <c r="F44" s="75">
        <f>+E44*C17</f>
        <v>417.75103392000005</v>
      </c>
      <c r="G44" s="75">
        <f>D44-F44</f>
        <v>0</v>
      </c>
      <c r="H44" s="70">
        <f>G44/D44</f>
        <v>0</v>
      </c>
      <c r="P44" s="4" t="str">
        <f>IF(AND(InputResults!D119="no",InputResults!E119="yes"),"yes","no")</f>
        <v>no</v>
      </c>
      <c r="Q44" s="4" t="s">
        <v>318</v>
      </c>
    </row>
    <row r="45" spans="1:17" ht="12.75" hidden="1">
      <c r="A45" s="69" t="s">
        <v>16</v>
      </c>
      <c r="B45" s="70">
        <f>InputResults!D32/InputResults!D26</f>
        <v>0.6329113924050632</v>
      </c>
      <c r="C45" s="70">
        <f>+InputResults!D48/InputResults!D42</f>
        <v>0.4216867469879518</v>
      </c>
      <c r="D45" s="75">
        <f>C8*50*C18</f>
        <v>64.78818300000002</v>
      </c>
      <c r="E45" s="75">
        <f>+G38/C13</f>
        <v>12.957636600000003</v>
      </c>
      <c r="F45" s="75">
        <f>+E45*C18</f>
        <v>64.78818300000002</v>
      </c>
      <c r="G45" s="75">
        <f>D45-F45</f>
        <v>0</v>
      </c>
      <c r="H45" s="70">
        <f>G45/D45</f>
        <v>0</v>
      </c>
      <c r="P45" s="4" t="str">
        <f>IF(AND(InputResults!D119="yes",InputResults!E119="yes"),"yes","no")</f>
        <v>no</v>
      </c>
      <c r="Q45" s="4" t="s">
        <v>319</v>
      </c>
    </row>
    <row r="46" spans="1:17" ht="12.75" hidden="1">
      <c r="A46" s="69" t="s">
        <v>17</v>
      </c>
      <c r="B46" s="70">
        <f>InputResults!D33/InputResults!D27</f>
        <v>0.6219512195121951</v>
      </c>
      <c r="C46" s="70">
        <f>+InputResults!D49/InputResults!D43</f>
        <v>0.25301204819277107</v>
      </c>
      <c r="D46" s="75">
        <f>C9*50*C19</f>
        <v>163.6941798</v>
      </c>
      <c r="E46" s="75">
        <f>+G39/C14</f>
        <v>32.096898</v>
      </c>
      <c r="F46" s="75">
        <f>+E46*C19</f>
        <v>163.6941798</v>
      </c>
      <c r="G46" s="75">
        <f>D46-F46</f>
        <v>0</v>
      </c>
      <c r="H46" s="70">
        <f>G46/D46</f>
        <v>0</v>
      </c>
      <c r="P46" s="4" t="str">
        <f>IF(AND(InputResults!D119="no",InputResults!E119="no"),"yes","no")</f>
        <v>yes</v>
      </c>
      <c r="Q46" s="4" t="s">
        <v>320</v>
      </c>
    </row>
    <row r="47" spans="1:8" ht="12.75" hidden="1">
      <c r="A47" s="69" t="s">
        <v>18</v>
      </c>
      <c r="B47" s="67"/>
      <c r="C47" s="67"/>
      <c r="D47" s="75">
        <f>SUM(D44:D46)</f>
        <v>646.2333967200001</v>
      </c>
      <c r="E47" s="75">
        <f>SUM(E44:E46)</f>
        <v>132.086</v>
      </c>
      <c r="F47" s="75">
        <f>SUM(F44:F46)</f>
        <v>646.2333967200001</v>
      </c>
      <c r="G47" s="75">
        <f>SUM(G44:G46)</f>
        <v>0</v>
      </c>
      <c r="H47" s="70">
        <f>G47/D47</f>
        <v>0</v>
      </c>
    </row>
    <row r="48" spans="16:17" ht="12.75" hidden="1">
      <c r="P48" s="4" t="str">
        <f>IF(InputResults!E137&gt;InputResults!D137,"yes","no")</f>
        <v>no</v>
      </c>
      <c r="Q48" s="4" t="s">
        <v>321</v>
      </c>
    </row>
    <row r="49" spans="1:3" ht="12.75" hidden="1">
      <c r="A49" s="1" t="s">
        <v>133</v>
      </c>
      <c r="C49" s="4" t="s">
        <v>121</v>
      </c>
    </row>
    <row r="50" spans="1:6" ht="38.25" hidden="1">
      <c r="A50" s="67"/>
      <c r="B50" s="68" t="s">
        <v>135</v>
      </c>
      <c r="C50" s="68" t="s">
        <v>50</v>
      </c>
      <c r="D50" s="68" t="s">
        <v>126</v>
      </c>
      <c r="E50" s="68" t="s">
        <v>136</v>
      </c>
      <c r="F50" s="68" t="s">
        <v>43</v>
      </c>
    </row>
    <row r="51" spans="1:6" ht="12.75" hidden="1">
      <c r="A51" s="69" t="s">
        <v>15</v>
      </c>
      <c r="B51" s="71">
        <f>1-B44</f>
        <v>0.52</v>
      </c>
      <c r="C51" s="75">
        <f>E37*B51</f>
        <v>271.53817204800004</v>
      </c>
      <c r="D51" s="75">
        <f>H37*B51</f>
        <v>271.53817204800004</v>
      </c>
      <c r="E51" s="75">
        <f>C51-D51</f>
        <v>0</v>
      </c>
      <c r="F51" s="70">
        <f>E51/C51</f>
        <v>0</v>
      </c>
    </row>
    <row r="52" spans="1:6" ht="12.75" hidden="1">
      <c r="A52" s="69" t="s">
        <v>16</v>
      </c>
      <c r="B52" s="71">
        <f>1-B45</f>
        <v>0.3670886075949368</v>
      </c>
      <c r="C52" s="75">
        <f>E38*B52</f>
        <v>22.54628768400001</v>
      </c>
      <c r="D52" s="75">
        <f>H38*B52</f>
        <v>22.54628768400001</v>
      </c>
      <c r="E52" s="75">
        <f>C52-D52</f>
        <v>0</v>
      </c>
      <c r="F52" s="70">
        <f>E52/C52</f>
        <v>0</v>
      </c>
    </row>
    <row r="53" spans="1:6" ht="12.75" hidden="1">
      <c r="A53" s="69" t="s">
        <v>17</v>
      </c>
      <c r="B53" s="71">
        <f>1-B46</f>
        <v>0.3780487804878049</v>
      </c>
      <c r="C53" s="75">
        <f>E39*B53</f>
        <v>59.700230279999985</v>
      </c>
      <c r="D53" s="75">
        <f>H39*B53</f>
        <v>59.700230279999985</v>
      </c>
      <c r="E53" s="75">
        <f>C53-D53</f>
        <v>0</v>
      </c>
      <c r="F53" s="70">
        <f>E53/C53</f>
        <v>0</v>
      </c>
    </row>
    <row r="54" spans="1:6" ht="12.75" hidden="1">
      <c r="A54" s="69" t="s">
        <v>18</v>
      </c>
      <c r="B54" s="67"/>
      <c r="C54" s="75">
        <f>SUM(C51:C53)</f>
        <v>353.784690012</v>
      </c>
      <c r="D54" s="75"/>
      <c r="E54" s="75">
        <f>SUM(E51:E53)</f>
        <v>0</v>
      </c>
      <c r="F54" s="70">
        <f>E54/C54</f>
        <v>0</v>
      </c>
    </row>
    <row r="55" ht="12.75" hidden="1"/>
    <row r="56" ht="12.75" hidden="1">
      <c r="A56" s="54" t="s">
        <v>142</v>
      </c>
    </row>
    <row r="57" ht="12.75" hidden="1">
      <c r="A57" s="91"/>
    </row>
    <row r="58" ht="12.75" hidden="1">
      <c r="A58" s="10" t="s">
        <v>143</v>
      </c>
    </row>
    <row r="59" spans="1:13" ht="52.5" customHeight="1" hidden="1">
      <c r="A59" s="67"/>
      <c r="B59" s="68" t="s">
        <v>138</v>
      </c>
      <c r="C59" s="68" t="s">
        <v>139</v>
      </c>
      <c r="D59" s="68" t="s">
        <v>140</v>
      </c>
      <c r="E59" s="68" t="s">
        <v>141</v>
      </c>
      <c r="F59" s="68" t="s">
        <v>36</v>
      </c>
      <c r="G59" s="68" t="s">
        <v>127</v>
      </c>
      <c r="H59" s="68" t="s">
        <v>37</v>
      </c>
      <c r="I59" s="68" t="s">
        <v>38</v>
      </c>
      <c r="J59" s="68" t="s">
        <v>39</v>
      </c>
      <c r="K59" s="68" t="s">
        <v>44</v>
      </c>
      <c r="M59" s="65"/>
    </row>
    <row r="60" spans="1:13" ht="12.75" hidden="1">
      <c r="A60" s="69" t="s">
        <v>15</v>
      </c>
      <c r="B60" s="75">
        <f>G37</f>
        <v>870.3146540000001</v>
      </c>
      <c r="C60" s="70">
        <f>F37</f>
        <v>0.4</v>
      </c>
      <c r="D60" s="75">
        <f>D37</f>
        <v>348.12586160000006</v>
      </c>
      <c r="E60" s="75">
        <f>B60-D60</f>
        <v>522.1887924</v>
      </c>
      <c r="F60" s="70">
        <f>IF(AND(InputResults!$E$80="yes",Calculations!Q24="HVLP"),Calculations!$J$8,Calculations!C60)</f>
        <v>0.4</v>
      </c>
      <c r="G60" s="75">
        <f>D60/F60</f>
        <v>870.3146540000001</v>
      </c>
      <c r="H60" s="75">
        <f>G60-D60</f>
        <v>522.1887924</v>
      </c>
      <c r="I60" s="75">
        <f>B60-G60</f>
        <v>0</v>
      </c>
      <c r="J60" s="75">
        <f>E60-H60</f>
        <v>0</v>
      </c>
      <c r="K60" s="70">
        <f>I60/B60</f>
        <v>0</v>
      </c>
      <c r="M60" s="64"/>
    </row>
    <row r="61" spans="1:13" ht="12.75" hidden="1">
      <c r="A61" s="69" t="s">
        <v>16</v>
      </c>
      <c r="B61" s="75">
        <f>G38</f>
        <v>102.36532914000003</v>
      </c>
      <c r="C61" s="70">
        <f>F38</f>
        <v>0.4</v>
      </c>
      <c r="D61" s="75">
        <f>D38</f>
        <v>40.94613165600001</v>
      </c>
      <c r="E61" s="75">
        <f>B61-D61</f>
        <v>61.419197484000016</v>
      </c>
      <c r="F61" s="70">
        <f>IF(AND(InputResults!$E$80="yes",Calculations!Q25="HVLP"),Calculations!$J$8,Calculations!C61)</f>
        <v>0.4</v>
      </c>
      <c r="G61" s="75">
        <f>D61/F61</f>
        <v>102.36532914000003</v>
      </c>
      <c r="H61" s="75">
        <f>G61-D61</f>
        <v>61.419197484000016</v>
      </c>
      <c r="I61" s="75">
        <f>B61-G61</f>
        <v>0</v>
      </c>
      <c r="J61" s="75">
        <f>E61-H61</f>
        <v>0</v>
      </c>
      <c r="K61" s="70">
        <f>I61/B61</f>
        <v>0</v>
      </c>
      <c r="M61" s="64"/>
    </row>
    <row r="62" spans="1:13" ht="12.75" hidden="1">
      <c r="A62" s="69" t="s">
        <v>17</v>
      </c>
      <c r="B62" s="75">
        <f>G39</f>
        <v>263.1945636</v>
      </c>
      <c r="C62" s="70">
        <f>F39</f>
        <v>0.4</v>
      </c>
      <c r="D62" s="75">
        <f>D39</f>
        <v>105.27782544</v>
      </c>
      <c r="E62" s="75">
        <f>B62-D62</f>
        <v>157.91673815999997</v>
      </c>
      <c r="F62" s="70">
        <f>IF(AND(InputResults!$E$80="yes",Calculations!Q26="HVLP"),Calculations!$J$8,Calculations!C62)</f>
        <v>0.4</v>
      </c>
      <c r="G62" s="75">
        <f>D62/F62</f>
        <v>263.1945636</v>
      </c>
      <c r="H62" s="75">
        <f>G62-D62</f>
        <v>157.91673815999997</v>
      </c>
      <c r="I62" s="75">
        <f>B62-G62</f>
        <v>0</v>
      </c>
      <c r="J62" s="75">
        <f>E62-H62</f>
        <v>0</v>
      </c>
      <c r="K62" s="70">
        <f>I62/B62</f>
        <v>0</v>
      </c>
      <c r="M62" s="64"/>
    </row>
    <row r="63" spans="1:13" ht="12.75" hidden="1">
      <c r="A63" s="69" t="s">
        <v>18</v>
      </c>
      <c r="B63" s="75">
        <f>SUM(B60:B62)</f>
        <v>1235.8745467400001</v>
      </c>
      <c r="C63" s="67"/>
      <c r="D63" s="67"/>
      <c r="E63" s="67"/>
      <c r="F63" s="67"/>
      <c r="G63" s="75">
        <f>SUM(G60:G62)</f>
        <v>1235.8745467400001</v>
      </c>
      <c r="H63" s="75"/>
      <c r="I63" s="75">
        <f>SUM(I60:I62)</f>
        <v>0</v>
      </c>
      <c r="J63" s="75"/>
      <c r="K63" s="70">
        <f>I63/B63</f>
        <v>0</v>
      </c>
      <c r="M63" s="64"/>
    </row>
    <row r="64" ht="12.75" hidden="1">
      <c r="A64" s="1"/>
    </row>
    <row r="65" ht="12.75" hidden="1">
      <c r="A65" s="10" t="s">
        <v>144</v>
      </c>
    </row>
    <row r="66" spans="1:6" ht="51" hidden="1">
      <c r="A66" s="67"/>
      <c r="B66" s="68" t="s">
        <v>41</v>
      </c>
      <c r="C66" s="68" t="s">
        <v>146</v>
      </c>
      <c r="D66" s="68" t="s">
        <v>124</v>
      </c>
      <c r="E66" s="68" t="s">
        <v>42</v>
      </c>
      <c r="F66" s="68" t="s">
        <v>125</v>
      </c>
    </row>
    <row r="67" spans="1:6" ht="12.75" hidden="1">
      <c r="A67" s="69" t="s">
        <v>15</v>
      </c>
      <c r="B67" s="70">
        <f>B44</f>
        <v>0.48</v>
      </c>
      <c r="C67" s="75">
        <f>F44</f>
        <v>417.75103392000005</v>
      </c>
      <c r="D67" s="75">
        <f>+G60/C12*C17</f>
        <v>417.75103392000005</v>
      </c>
      <c r="E67" s="75">
        <f>C67-D67</f>
        <v>0</v>
      </c>
      <c r="F67" s="70">
        <f>E67/C67</f>
        <v>0</v>
      </c>
    </row>
    <row r="68" spans="1:6" ht="12.75" hidden="1">
      <c r="A68" s="69" t="s">
        <v>16</v>
      </c>
      <c r="B68" s="70">
        <f>B45</f>
        <v>0.6329113924050632</v>
      </c>
      <c r="C68" s="75">
        <f>F45</f>
        <v>64.78818300000002</v>
      </c>
      <c r="D68" s="75">
        <f>+G61/C13*C18</f>
        <v>64.78818300000002</v>
      </c>
      <c r="E68" s="75">
        <f>C68-D68</f>
        <v>0</v>
      </c>
      <c r="F68" s="70">
        <f>E68/C68</f>
        <v>0</v>
      </c>
    </row>
    <row r="69" spans="1:6" ht="12.75" hidden="1">
      <c r="A69" s="69" t="s">
        <v>17</v>
      </c>
      <c r="B69" s="70">
        <f>B46</f>
        <v>0.6219512195121951</v>
      </c>
      <c r="C69" s="75">
        <f>F46</f>
        <v>163.6941798</v>
      </c>
      <c r="D69" s="75">
        <f>+G62/C14*C19</f>
        <v>163.6941798</v>
      </c>
      <c r="E69" s="75">
        <f>C69-D69</f>
        <v>0</v>
      </c>
      <c r="F69" s="70">
        <f>E69/C69</f>
        <v>0</v>
      </c>
    </row>
    <row r="70" spans="1:6" ht="12.75" hidden="1">
      <c r="A70" s="69" t="s">
        <v>18</v>
      </c>
      <c r="B70" s="67"/>
      <c r="C70" s="75">
        <f>SUM(C67:C69)</f>
        <v>646.2333967200001</v>
      </c>
      <c r="D70" s="75">
        <f>SUM(D67:D69)</f>
        <v>646.2333967200001</v>
      </c>
      <c r="E70" s="75">
        <f>SUM(E67:E69)</f>
        <v>0</v>
      </c>
      <c r="F70" s="70">
        <f>E70/C70</f>
        <v>0</v>
      </c>
    </row>
    <row r="71" ht="12.75" hidden="1"/>
    <row r="72" spans="1:3" ht="12.75" hidden="1">
      <c r="A72" s="10" t="s">
        <v>145</v>
      </c>
      <c r="C72" s="4" t="s">
        <v>121</v>
      </c>
    </row>
    <row r="73" spans="1:6" ht="51" hidden="1">
      <c r="A73" s="67"/>
      <c r="B73" s="68" t="s">
        <v>149</v>
      </c>
      <c r="C73" s="68" t="s">
        <v>150</v>
      </c>
      <c r="D73" s="68" t="s">
        <v>126</v>
      </c>
      <c r="E73" s="68" t="s">
        <v>136</v>
      </c>
      <c r="F73" s="68" t="s">
        <v>43</v>
      </c>
    </row>
    <row r="74" spans="1:6" ht="12.75" hidden="1">
      <c r="A74" s="69" t="s">
        <v>15</v>
      </c>
      <c r="B74" s="71">
        <f>B51</f>
        <v>0.52</v>
      </c>
      <c r="C74" s="75">
        <f>E60*B74</f>
        <v>271.53817204800004</v>
      </c>
      <c r="D74" s="75">
        <f>H60*B74</f>
        <v>271.53817204800004</v>
      </c>
      <c r="E74" s="75">
        <f>C74-D74</f>
        <v>0</v>
      </c>
      <c r="F74" s="70">
        <f>E74/C74</f>
        <v>0</v>
      </c>
    </row>
    <row r="75" spans="1:6" ht="12.75" hidden="1">
      <c r="A75" s="69" t="s">
        <v>16</v>
      </c>
      <c r="B75" s="71">
        <f>B52</f>
        <v>0.3670886075949368</v>
      </c>
      <c r="C75" s="75">
        <f>E61*B75</f>
        <v>22.54628768400001</v>
      </c>
      <c r="D75" s="75">
        <f>H61*B75</f>
        <v>22.54628768400001</v>
      </c>
      <c r="E75" s="75">
        <f>C75-D75</f>
        <v>0</v>
      </c>
      <c r="F75" s="70">
        <f>E75/C75</f>
        <v>0</v>
      </c>
    </row>
    <row r="76" spans="1:6" ht="12.75" hidden="1">
      <c r="A76" s="69" t="s">
        <v>17</v>
      </c>
      <c r="B76" s="71">
        <f>B53</f>
        <v>0.3780487804878049</v>
      </c>
      <c r="C76" s="75">
        <f>E62*B76</f>
        <v>59.700230279999985</v>
      </c>
      <c r="D76" s="75">
        <f>H62*B76</f>
        <v>59.700230279999985</v>
      </c>
      <c r="E76" s="75">
        <f>C76-D76</f>
        <v>0</v>
      </c>
      <c r="F76" s="70">
        <f>E76/C76</f>
        <v>0</v>
      </c>
    </row>
    <row r="77" spans="1:6" ht="12.75" hidden="1">
      <c r="A77" s="69" t="s">
        <v>18</v>
      </c>
      <c r="B77" s="67"/>
      <c r="C77" s="75">
        <f>SUM(C74:C76)</f>
        <v>353.784690012</v>
      </c>
      <c r="D77" s="75"/>
      <c r="E77" s="75">
        <f>SUM(E74:E76)</f>
        <v>0</v>
      </c>
      <c r="F77" s="70">
        <f>E77/C77</f>
        <v>0</v>
      </c>
    </row>
    <row r="78" ht="12.75" hidden="1"/>
    <row r="79" ht="12.75" hidden="1">
      <c r="A79" s="91" t="s">
        <v>147</v>
      </c>
    </row>
    <row r="80" ht="12.75" hidden="1">
      <c r="A80" s="91"/>
    </row>
    <row r="81" spans="1:4" ht="12.75" hidden="1">
      <c r="A81" s="1" t="s">
        <v>137</v>
      </c>
      <c r="C81" s="66">
        <f>InputResults!D87</f>
        <v>0.98</v>
      </c>
      <c r="D81" s="4" t="s">
        <v>51</v>
      </c>
    </row>
    <row r="82" spans="1:12" ht="38.25" hidden="1">
      <c r="A82" s="67"/>
      <c r="B82" s="68" t="s">
        <v>155</v>
      </c>
      <c r="C82" s="68" t="s">
        <v>50</v>
      </c>
      <c r="D82" s="68" t="s">
        <v>152</v>
      </c>
      <c r="E82" s="68" t="s">
        <v>153</v>
      </c>
      <c r="F82" s="68" t="s">
        <v>53</v>
      </c>
      <c r="G82" s="68" t="s">
        <v>154</v>
      </c>
      <c r="H82" s="68" t="s">
        <v>54</v>
      </c>
      <c r="I82" s="11"/>
      <c r="J82" s="11"/>
      <c r="K82" s="11"/>
      <c r="L82" s="11"/>
    </row>
    <row r="83" spans="1:12" ht="12.75" hidden="1">
      <c r="A83" s="69" t="s">
        <v>15</v>
      </c>
      <c r="B83" s="71">
        <f>InputResults!D93</f>
        <v>0</v>
      </c>
      <c r="C83" s="74">
        <f>C51</f>
        <v>271.53817204800004</v>
      </c>
      <c r="D83" s="75">
        <f>C83*B83*(1-$C$81)+C83*(1-B83)</f>
        <v>271.53817204800004</v>
      </c>
      <c r="E83" s="71">
        <f>InputResults!E93</f>
        <v>0</v>
      </c>
      <c r="F83" s="74">
        <f>C83*E83*(1-$C$81)+C83*(1-E83)</f>
        <v>271.53817204800004</v>
      </c>
      <c r="G83" s="75">
        <f>D83-F83</f>
        <v>0</v>
      </c>
      <c r="H83" s="70">
        <f>G83/D83</f>
        <v>0</v>
      </c>
      <c r="K83" s="64"/>
      <c r="L83" s="64"/>
    </row>
    <row r="84" spans="1:12" ht="12.75" hidden="1">
      <c r="A84" s="69" t="s">
        <v>16</v>
      </c>
      <c r="B84" s="71">
        <f>InputResults!D94</f>
        <v>0</v>
      </c>
      <c r="C84" s="74">
        <f>C52</f>
        <v>22.54628768400001</v>
      </c>
      <c r="D84" s="75">
        <f>C84*B84*(1-$C$81)+C84*(1-B84)</f>
        <v>22.54628768400001</v>
      </c>
      <c r="E84" s="71">
        <f>InputResults!E94</f>
        <v>0</v>
      </c>
      <c r="F84" s="74">
        <f>C84*E84*(1-$C$81)+C84*(1-E84)</f>
        <v>22.54628768400001</v>
      </c>
      <c r="G84" s="75">
        <f>D84-F84</f>
        <v>0</v>
      </c>
      <c r="H84" s="70">
        <f>G84/D84</f>
        <v>0</v>
      </c>
      <c r="K84" s="64"/>
      <c r="L84" s="64"/>
    </row>
    <row r="85" spans="1:12" ht="12.75" hidden="1">
      <c r="A85" s="69" t="s">
        <v>17</v>
      </c>
      <c r="B85" s="71">
        <f>InputResults!D95</f>
        <v>0</v>
      </c>
      <c r="C85" s="74">
        <f>C53</f>
        <v>59.700230279999985</v>
      </c>
      <c r="D85" s="75">
        <f>C85*B85*(1-$C$81)+C85*(1-B85)</f>
        <v>59.700230279999985</v>
      </c>
      <c r="E85" s="71">
        <f>InputResults!E95</f>
        <v>0</v>
      </c>
      <c r="F85" s="74">
        <f>C85*E85*(1-$C$81)+C85*(1-E85)</f>
        <v>59.700230279999985</v>
      </c>
      <c r="G85" s="75">
        <f>D85-F85</f>
        <v>0</v>
      </c>
      <c r="H85" s="70">
        <f>G85/D85</f>
        <v>0</v>
      </c>
      <c r="K85" s="64"/>
      <c r="L85" s="64"/>
    </row>
    <row r="86" spans="1:12" ht="12.75" hidden="1">
      <c r="A86" s="69" t="s">
        <v>18</v>
      </c>
      <c r="B86" s="67"/>
      <c r="C86" s="75"/>
      <c r="D86" s="75">
        <f>(SUM(D83:D85))</f>
        <v>353.784690012</v>
      </c>
      <c r="E86" s="67"/>
      <c r="F86" s="75">
        <f>SUM(F83:F85)</f>
        <v>353.784690012</v>
      </c>
      <c r="G86" s="75">
        <f>D86-F86</f>
        <v>0</v>
      </c>
      <c r="H86" s="70">
        <f>G86/D86</f>
        <v>0</v>
      </c>
      <c r="K86" s="64"/>
      <c r="L86" s="64"/>
    </row>
    <row r="87" ht="12.75" hidden="1">
      <c r="A87" s="1"/>
    </row>
    <row r="88" ht="12.75" hidden="1">
      <c r="A88" s="1" t="s">
        <v>148</v>
      </c>
    </row>
    <row r="89" spans="1:8" ht="64.5" customHeight="1" hidden="1">
      <c r="A89" s="72"/>
      <c r="B89" s="68" t="s">
        <v>155</v>
      </c>
      <c r="C89" s="68" t="s">
        <v>150</v>
      </c>
      <c r="D89" s="68" t="s">
        <v>156</v>
      </c>
      <c r="E89" s="68" t="s">
        <v>52</v>
      </c>
      <c r="F89" s="68" t="s">
        <v>93</v>
      </c>
      <c r="G89" s="68" t="s">
        <v>157</v>
      </c>
      <c r="H89" s="68" t="s">
        <v>158</v>
      </c>
    </row>
    <row r="90" spans="1:8" ht="12.75" hidden="1">
      <c r="A90" s="69" t="s">
        <v>15</v>
      </c>
      <c r="B90" s="71">
        <f>InputResults!$D$93</f>
        <v>0</v>
      </c>
      <c r="C90" s="74">
        <f>D51</f>
        <v>271.53817204800004</v>
      </c>
      <c r="D90" s="75">
        <f>C90*B90*(1-$C$81)+C90*(1-B90)</f>
        <v>271.53817204800004</v>
      </c>
      <c r="E90" s="71">
        <f>InputResults!$E$93</f>
        <v>0</v>
      </c>
      <c r="F90" s="74">
        <f>C90*E90*(1-$C$81)+C90*(1-E90)</f>
        <v>271.53817204800004</v>
      </c>
      <c r="G90" s="75">
        <f>D90-F90</f>
        <v>0</v>
      </c>
      <c r="H90" s="70">
        <f>G90/D90</f>
        <v>0</v>
      </c>
    </row>
    <row r="91" spans="1:8" ht="12.75" hidden="1">
      <c r="A91" s="69" t="s">
        <v>16</v>
      </c>
      <c r="B91" s="71">
        <f>InputResults!$D$94</f>
        <v>0</v>
      </c>
      <c r="C91" s="74">
        <f>D52</f>
        <v>22.54628768400001</v>
      </c>
      <c r="D91" s="75">
        <f>C91*B91*(1-$C$81)+C91*(1-B91)</f>
        <v>22.54628768400001</v>
      </c>
      <c r="E91" s="71">
        <f>InputResults!$E$94</f>
        <v>0</v>
      </c>
      <c r="F91" s="74">
        <f>C91*E91*(1-$C$81)+C91*(1-E91)</f>
        <v>22.54628768400001</v>
      </c>
      <c r="G91" s="75">
        <f>D91-F91</f>
        <v>0</v>
      </c>
      <c r="H91" s="70">
        <f>G91/D91</f>
        <v>0</v>
      </c>
    </row>
    <row r="92" spans="1:8" ht="12.75" hidden="1">
      <c r="A92" s="69" t="s">
        <v>17</v>
      </c>
      <c r="B92" s="71">
        <f>InputResults!$D$95</f>
        <v>0</v>
      </c>
      <c r="C92" s="74">
        <f>D53</f>
        <v>59.700230279999985</v>
      </c>
      <c r="D92" s="75">
        <f>C92*B92*(1-$C$81)+C92*(1-B92)</f>
        <v>59.700230279999985</v>
      </c>
      <c r="E92" s="71">
        <f>InputResults!$E$95</f>
        <v>0</v>
      </c>
      <c r="F92" s="74">
        <f>C92*E92*(1-$C$81)+C92*(1-E92)</f>
        <v>59.700230279999985</v>
      </c>
      <c r="G92" s="75">
        <f>D92-F92</f>
        <v>0</v>
      </c>
      <c r="H92" s="70">
        <f>G92/D92</f>
        <v>0</v>
      </c>
    </row>
    <row r="93" spans="1:8" ht="12.75" hidden="1">
      <c r="A93" s="69" t="s">
        <v>18</v>
      </c>
      <c r="B93" s="67"/>
      <c r="C93" s="75"/>
      <c r="D93" s="75">
        <f>(SUM(D90:D92))</f>
        <v>353.784690012</v>
      </c>
      <c r="E93" s="67"/>
      <c r="F93" s="75">
        <f>SUM(F90:F92)</f>
        <v>353.784690012</v>
      </c>
      <c r="G93" s="75">
        <f>D93-F93</f>
        <v>0</v>
      </c>
      <c r="H93" s="70">
        <f>G93/D93</f>
        <v>0</v>
      </c>
    </row>
    <row r="94" spans="1:6" ht="12.75" hidden="1">
      <c r="A94" s="1"/>
      <c r="F94" s="64"/>
    </row>
    <row r="95" ht="12.75" hidden="1">
      <c r="A95" s="1" t="s">
        <v>151</v>
      </c>
    </row>
    <row r="96" spans="1:8" ht="51" hidden="1">
      <c r="A96" s="72"/>
      <c r="B96" s="68" t="s">
        <v>155</v>
      </c>
      <c r="C96" s="68" t="s">
        <v>159</v>
      </c>
      <c r="D96" s="68" t="s">
        <v>160</v>
      </c>
      <c r="E96" s="68" t="s">
        <v>153</v>
      </c>
      <c r="F96" s="68" t="s">
        <v>161</v>
      </c>
      <c r="G96" s="68" t="s">
        <v>162</v>
      </c>
      <c r="H96" s="68" t="s">
        <v>163</v>
      </c>
    </row>
    <row r="97" spans="1:8" ht="12.75" hidden="1">
      <c r="A97" s="69" t="s">
        <v>15</v>
      </c>
      <c r="B97" s="71">
        <f>InputResults!$D$93</f>
        <v>0</v>
      </c>
      <c r="C97" s="74">
        <f>D74</f>
        <v>271.53817204800004</v>
      </c>
      <c r="D97" s="75">
        <f>C97*B97*(1-$C$81)+C97*(1-B97)</f>
        <v>271.53817204800004</v>
      </c>
      <c r="E97" s="71">
        <f>InputResults!$E$93</f>
        <v>0</v>
      </c>
      <c r="F97" s="74">
        <f>C97*E97*(1-$C$81)+C97*(1-E97)</f>
        <v>271.53817204800004</v>
      </c>
      <c r="G97" s="75">
        <f>D97-F97</f>
        <v>0</v>
      </c>
      <c r="H97" s="70">
        <f>G97/D97</f>
        <v>0</v>
      </c>
    </row>
    <row r="98" spans="1:8" ht="12.75" hidden="1">
      <c r="A98" s="69" t="s">
        <v>16</v>
      </c>
      <c r="B98" s="71">
        <f>InputResults!$D$94</f>
        <v>0</v>
      </c>
      <c r="C98" s="74">
        <f>D75</f>
        <v>22.54628768400001</v>
      </c>
      <c r="D98" s="75">
        <f>C98*B98*(1-$C$81)+C98*(1-B98)</f>
        <v>22.54628768400001</v>
      </c>
      <c r="E98" s="71">
        <f>InputResults!$E$94</f>
        <v>0</v>
      </c>
      <c r="F98" s="74">
        <f>C98*E98*(1-$C$81)+C98*(1-E98)</f>
        <v>22.54628768400001</v>
      </c>
      <c r="G98" s="75">
        <f>D98-F98</f>
        <v>0</v>
      </c>
      <c r="H98" s="70">
        <f>G98/D98</f>
        <v>0</v>
      </c>
    </row>
    <row r="99" spans="1:8" ht="12.75" hidden="1">
      <c r="A99" s="69" t="s">
        <v>17</v>
      </c>
      <c r="B99" s="71">
        <f>InputResults!$D$95</f>
        <v>0</v>
      </c>
      <c r="C99" s="74">
        <f>D76</f>
        <v>59.700230279999985</v>
      </c>
      <c r="D99" s="75">
        <f>C99*B99*(1-$C$81)+C99*(1-B99)</f>
        <v>59.700230279999985</v>
      </c>
      <c r="E99" s="71">
        <f>InputResults!$E$95</f>
        <v>0</v>
      </c>
      <c r="F99" s="74">
        <f>C99*E99*(1-$C$81)+C99*(1-E99)</f>
        <v>59.700230279999985</v>
      </c>
      <c r="G99" s="75">
        <f>D99-F99</f>
        <v>0</v>
      </c>
      <c r="H99" s="70">
        <f>G99/D99</f>
        <v>0</v>
      </c>
    </row>
    <row r="100" spans="1:8" ht="12.75" hidden="1">
      <c r="A100" s="69" t="s">
        <v>18</v>
      </c>
      <c r="B100" s="67"/>
      <c r="C100" s="75"/>
      <c r="D100" s="75">
        <f>(SUM(D97:D99))</f>
        <v>353.784690012</v>
      </c>
      <c r="E100" s="67"/>
      <c r="F100" s="75">
        <f>SUM(F97:F99)</f>
        <v>353.784690012</v>
      </c>
      <c r="G100" s="75">
        <f>D100-F100</f>
        <v>0</v>
      </c>
      <c r="H100" s="70">
        <f>G100/D100</f>
        <v>0</v>
      </c>
    </row>
    <row r="101" spans="1:8" ht="12.75" hidden="1">
      <c r="A101" s="83"/>
      <c r="B101" s="92"/>
      <c r="C101" s="84"/>
      <c r="D101" s="84"/>
      <c r="E101" s="92"/>
      <c r="F101" s="84"/>
      <c r="G101" s="84"/>
      <c r="H101" s="85"/>
    </row>
    <row r="102" spans="1:6" ht="12.75" hidden="1">
      <c r="A102" s="6" t="s">
        <v>164</v>
      </c>
      <c r="F102" s="64"/>
    </row>
    <row r="103" spans="1:6" ht="12.75" hidden="1">
      <c r="A103" s="6"/>
      <c r="F103" s="64"/>
    </row>
    <row r="104" spans="1:5" ht="12.75" hidden="1">
      <c r="A104" s="1" t="s">
        <v>165</v>
      </c>
      <c r="C104" s="66"/>
      <c r="D104" s="66">
        <f>+InputResults!D53</f>
        <v>0.25</v>
      </c>
      <c r="E104" s="4" t="s">
        <v>111</v>
      </c>
    </row>
    <row r="105" spans="1:19" ht="25.5" hidden="1">
      <c r="A105" s="67"/>
      <c r="B105" s="68" t="s">
        <v>104</v>
      </c>
      <c r="C105" s="68" t="s">
        <v>112</v>
      </c>
      <c r="D105" s="68" t="s">
        <v>105</v>
      </c>
      <c r="E105" s="68" t="s">
        <v>106</v>
      </c>
      <c r="F105" s="68" t="s">
        <v>334</v>
      </c>
      <c r="G105" s="68" t="s">
        <v>107</v>
      </c>
      <c r="H105" s="68" t="s">
        <v>108</v>
      </c>
      <c r="I105" s="68" t="s">
        <v>109</v>
      </c>
      <c r="J105" s="68" t="s">
        <v>373</v>
      </c>
      <c r="K105" s="68" t="s">
        <v>44</v>
      </c>
      <c r="L105" s="11"/>
      <c r="M105" s="163"/>
      <c r="N105" s="163"/>
      <c r="O105" s="163"/>
      <c r="P105" s="92"/>
      <c r="Q105" s="163"/>
      <c r="R105" s="163"/>
      <c r="S105" s="163"/>
    </row>
    <row r="106" spans="1:19" ht="12.75" hidden="1">
      <c r="A106" s="69" t="s">
        <v>15</v>
      </c>
      <c r="B106" s="75">
        <f>+B37</f>
        <v>870.3146540000001</v>
      </c>
      <c r="C106" s="81">
        <f>+InputResults!D59</f>
        <v>0</v>
      </c>
      <c r="D106" s="75">
        <f>+C7*50*C106*InputResults!D41</f>
        <v>0</v>
      </c>
      <c r="E106" s="75">
        <f>+C7*50*(1-C106)*InputResults!D25</f>
        <v>870.3146540000001</v>
      </c>
      <c r="F106" s="81">
        <f>+InputResults!E59</f>
        <v>0</v>
      </c>
      <c r="G106" s="75">
        <f>F112*InputResults!D25</f>
        <v>870.3146540000001</v>
      </c>
      <c r="H106" s="75">
        <f>G112*InputResults!D41</f>
        <v>0</v>
      </c>
      <c r="I106" s="75">
        <f>G106+H106</f>
        <v>870.3146540000001</v>
      </c>
      <c r="J106" s="75">
        <f>+B106-I106</f>
        <v>0</v>
      </c>
      <c r="K106" s="70">
        <f>+J106/B106</f>
        <v>0</v>
      </c>
      <c r="L106" s="64"/>
      <c r="M106" s="92"/>
      <c r="N106" s="92"/>
      <c r="O106" s="92"/>
      <c r="P106" s="92"/>
      <c r="Q106" s="92"/>
      <c r="R106" s="92"/>
      <c r="S106" s="92"/>
    </row>
    <row r="107" spans="1:19" ht="12.75" hidden="1">
      <c r="A107" s="69" t="s">
        <v>16</v>
      </c>
      <c r="B107" s="75">
        <f>+B38</f>
        <v>102.36532914000003</v>
      </c>
      <c r="C107" s="81">
        <f>+InputResults!D60</f>
        <v>0</v>
      </c>
      <c r="D107" s="75">
        <f>+C8*50*C107*InputResults!D42</f>
        <v>0</v>
      </c>
      <c r="E107" s="75">
        <f>+C8*50*(1-C107)*InputResults!D26</f>
        <v>102.36532914000003</v>
      </c>
      <c r="F107" s="81">
        <f>+InputResults!E60</f>
        <v>0</v>
      </c>
      <c r="G107" s="75">
        <f>F113*InputResults!D26</f>
        <v>102.36532914000003</v>
      </c>
      <c r="H107" s="75">
        <f>G113*InputResults!D42</f>
        <v>0</v>
      </c>
      <c r="I107" s="75">
        <f>G107+H107</f>
        <v>102.36532914000003</v>
      </c>
      <c r="J107" s="75">
        <f>+B107-I107</f>
        <v>0</v>
      </c>
      <c r="K107" s="70">
        <f>+J107/B107</f>
        <v>0</v>
      </c>
      <c r="L107" s="64"/>
      <c r="M107" s="92"/>
      <c r="N107" s="92"/>
      <c r="O107" s="92"/>
      <c r="P107" s="92"/>
      <c r="Q107" s="92"/>
      <c r="R107" s="92"/>
      <c r="S107" s="92"/>
    </row>
    <row r="108" spans="1:19" ht="12.75" hidden="1">
      <c r="A108" s="69" t="s">
        <v>17</v>
      </c>
      <c r="B108" s="75">
        <f>+B39</f>
        <v>263.1945636</v>
      </c>
      <c r="C108" s="81">
        <f>+InputResults!D61</f>
        <v>0</v>
      </c>
      <c r="D108" s="75">
        <f>+C9*50*C108*InputResults!D43</f>
        <v>0</v>
      </c>
      <c r="E108" s="75">
        <f>+C9*50*(1-C108)*InputResults!D27</f>
        <v>263.1945636</v>
      </c>
      <c r="F108" s="81">
        <f>+InputResults!E61</f>
        <v>0</v>
      </c>
      <c r="G108" s="75">
        <f>F114*InputResults!D27</f>
        <v>263.1945636</v>
      </c>
      <c r="H108" s="75">
        <f>G114*InputResults!D43</f>
        <v>0</v>
      </c>
      <c r="I108" s="75">
        <f>G108+H108</f>
        <v>263.1945636</v>
      </c>
      <c r="J108" s="75">
        <f>+B108-I108</f>
        <v>0</v>
      </c>
      <c r="K108" s="70">
        <f>+J108/B108</f>
        <v>0</v>
      </c>
      <c r="L108" s="64"/>
      <c r="M108" s="92"/>
      <c r="N108" s="92"/>
      <c r="O108" s="92"/>
      <c r="P108" s="92"/>
      <c r="Q108" s="92"/>
      <c r="R108" s="92"/>
      <c r="S108" s="92"/>
    </row>
    <row r="109" spans="1:12" ht="12.75" hidden="1">
      <c r="A109" s="69" t="s">
        <v>18</v>
      </c>
      <c r="B109" s="75">
        <f>SUM(B106:B108)</f>
        <v>1235.8745467400001</v>
      </c>
      <c r="C109" s="75"/>
      <c r="D109" s="75">
        <f>SUM(D106:D108)</f>
        <v>0</v>
      </c>
      <c r="E109" s="75">
        <f>SUM(E106:E108)</f>
        <v>1235.8745467400001</v>
      </c>
      <c r="F109" s="75"/>
      <c r="G109" s="75">
        <f>SUM(G106:G108)</f>
        <v>1235.8745467400001</v>
      </c>
      <c r="H109" s="75">
        <f>SUM(H106:H108)</f>
        <v>0</v>
      </c>
      <c r="I109" s="75">
        <f>SUM(I106:I108)</f>
        <v>1235.8745467400001</v>
      </c>
      <c r="J109" s="75">
        <f>SUM(J106:J108)</f>
        <v>0</v>
      </c>
      <c r="K109" s="70">
        <f>+J109/B109</f>
        <v>0</v>
      </c>
      <c r="L109" s="64"/>
    </row>
    <row r="110" spans="1:4" ht="12.75" hidden="1">
      <c r="A110" s="1" t="s">
        <v>383</v>
      </c>
      <c r="C110" s="66"/>
      <c r="D110" s="66"/>
    </row>
    <row r="111" spans="1:21" ht="38.25" hidden="1">
      <c r="A111" s="67"/>
      <c r="B111" s="68" t="s">
        <v>384</v>
      </c>
      <c r="C111" s="68" t="s">
        <v>385</v>
      </c>
      <c r="D111" s="68" t="s">
        <v>386</v>
      </c>
      <c r="E111" s="68" t="s">
        <v>404</v>
      </c>
      <c r="F111" s="68" t="s">
        <v>117</v>
      </c>
      <c r="G111" s="68" t="s">
        <v>118</v>
      </c>
      <c r="H111" s="68" t="s">
        <v>387</v>
      </c>
      <c r="I111" s="131"/>
      <c r="J111" s="131"/>
      <c r="K111" s="131"/>
      <c r="L111" s="131"/>
      <c r="M111" s="131"/>
      <c r="N111" s="11"/>
      <c r="O111" s="163"/>
      <c r="P111" s="163"/>
      <c r="Q111" s="163"/>
      <c r="R111" s="92"/>
      <c r="S111" s="163"/>
      <c r="T111" s="163"/>
      <c r="U111" s="163"/>
    </row>
    <row r="112" spans="1:21" ht="12.75" hidden="1">
      <c r="A112" s="69" t="s">
        <v>15</v>
      </c>
      <c r="B112" s="75">
        <f>B106/C12*(1-C106)</f>
        <v>87.03146540000002</v>
      </c>
      <c r="C112" s="74">
        <f>B106/C12*C106</f>
        <v>0</v>
      </c>
      <c r="D112" s="75">
        <f>B112+C112</f>
        <v>87.03146540000002</v>
      </c>
      <c r="E112" s="75">
        <f>D112*(1-$D$104*((F106-C106)/($D$104*F106+(1-$D$104))))</f>
        <v>87.03146540000002</v>
      </c>
      <c r="F112" s="74">
        <f>E112*(1-F106)</f>
        <v>87.03146540000002</v>
      </c>
      <c r="G112" s="75">
        <f>E112*F106</f>
        <v>0</v>
      </c>
      <c r="H112" s="71">
        <f>G112/E112</f>
        <v>0</v>
      </c>
      <c r="I112" s="84"/>
      <c r="J112" s="164"/>
      <c r="K112" s="84"/>
      <c r="L112" s="84"/>
      <c r="M112" s="85"/>
      <c r="N112" s="64"/>
      <c r="O112" s="92"/>
      <c r="P112" s="92"/>
      <c r="Q112" s="92"/>
      <c r="R112" s="92"/>
      <c r="S112" s="92"/>
      <c r="T112" s="92"/>
      <c r="U112" s="92"/>
    </row>
    <row r="113" spans="1:21" ht="12.75" hidden="1">
      <c r="A113" s="69" t="s">
        <v>16</v>
      </c>
      <c r="B113" s="75">
        <f>B107/C13*(1-C107)</f>
        <v>12.957636600000003</v>
      </c>
      <c r="C113" s="74">
        <f>B107/C13*C107</f>
        <v>0</v>
      </c>
      <c r="D113" s="75">
        <f>B113+C113</f>
        <v>12.957636600000003</v>
      </c>
      <c r="E113" s="75">
        <f>D113*(1-$D$104*((F107-C107)/($D$104*F107+(1-$D$104))))</f>
        <v>12.957636600000003</v>
      </c>
      <c r="F113" s="74">
        <f>E113*(1-F107)</f>
        <v>12.957636600000003</v>
      </c>
      <c r="G113" s="75">
        <f>E113*F107</f>
        <v>0</v>
      </c>
      <c r="H113" s="71">
        <f>G113/E113</f>
        <v>0</v>
      </c>
      <c r="I113" s="84"/>
      <c r="J113" s="164"/>
      <c r="K113" s="84"/>
      <c r="L113" s="84"/>
      <c r="M113" s="85"/>
      <c r="N113" s="64"/>
      <c r="O113" s="92"/>
      <c r="P113" s="92"/>
      <c r="Q113" s="92"/>
      <c r="R113" s="92"/>
      <c r="S113" s="92"/>
      <c r="T113" s="92"/>
      <c r="U113" s="92"/>
    </row>
    <row r="114" spans="1:21" ht="12.75" hidden="1">
      <c r="A114" s="69" t="s">
        <v>17</v>
      </c>
      <c r="B114" s="75">
        <f>B108/C14*(1-C108)</f>
        <v>32.096898</v>
      </c>
      <c r="C114" s="74">
        <f>B108/C14*C108</f>
        <v>0</v>
      </c>
      <c r="D114" s="75">
        <f>B114+C114</f>
        <v>32.096898</v>
      </c>
      <c r="E114" s="75">
        <f>D114*(1-$D$104*((F108-C108)/($D$104*F108+(1-$D$104))))</f>
        <v>32.096898</v>
      </c>
      <c r="F114" s="74">
        <f>E114*(1-F108)</f>
        <v>32.096898</v>
      </c>
      <c r="G114" s="75">
        <f>E114*F108</f>
        <v>0</v>
      </c>
      <c r="H114" s="71">
        <f>G114/E114</f>
        <v>0</v>
      </c>
      <c r="I114" s="84"/>
      <c r="J114" s="164"/>
      <c r="K114" s="84"/>
      <c r="L114" s="84"/>
      <c r="M114" s="85"/>
      <c r="N114" s="64"/>
      <c r="O114" s="92"/>
      <c r="P114" s="92"/>
      <c r="Q114" s="92"/>
      <c r="R114" s="92"/>
      <c r="S114" s="92"/>
      <c r="T114" s="92"/>
      <c r="U114" s="92"/>
    </row>
    <row r="115" spans="1:14" ht="12.75" hidden="1">
      <c r="A115" s="69" t="s">
        <v>18</v>
      </c>
      <c r="B115" s="75">
        <f aca="true" t="shared" si="0" ref="B115:G115">SUM(B112:B114)</f>
        <v>132.086</v>
      </c>
      <c r="C115" s="75">
        <f t="shared" si="0"/>
        <v>0</v>
      </c>
      <c r="D115" s="75">
        <f t="shared" si="0"/>
        <v>132.086</v>
      </c>
      <c r="E115" s="75">
        <f t="shared" si="0"/>
        <v>132.086</v>
      </c>
      <c r="F115" s="75">
        <f t="shared" si="0"/>
        <v>132.086</v>
      </c>
      <c r="G115" s="75">
        <f t="shared" si="0"/>
        <v>0</v>
      </c>
      <c r="H115" s="71"/>
      <c r="I115" s="84"/>
      <c r="J115" s="84"/>
      <c r="K115" s="84"/>
      <c r="L115" s="84"/>
      <c r="M115" s="85"/>
      <c r="N115" s="64"/>
    </row>
    <row r="116" spans="1:12" ht="12.75" hidden="1">
      <c r="A116" s="83"/>
      <c r="B116" s="84"/>
      <c r="C116" s="84"/>
      <c r="D116" s="84"/>
      <c r="E116" s="84"/>
      <c r="F116" s="84"/>
      <c r="G116" s="84"/>
      <c r="H116" s="84"/>
      <c r="I116" s="84"/>
      <c r="J116" s="84"/>
      <c r="K116" s="85"/>
      <c r="L116" s="64"/>
    </row>
    <row r="117" ht="12.75" hidden="1">
      <c r="A117" s="1" t="s">
        <v>166</v>
      </c>
    </row>
    <row r="118" spans="1:11" ht="38.25" hidden="1">
      <c r="A118" s="67"/>
      <c r="B118" s="68" t="s">
        <v>102</v>
      </c>
      <c r="C118" s="68" t="s">
        <v>103</v>
      </c>
      <c r="D118" s="68" t="s">
        <v>134</v>
      </c>
      <c r="E118" s="87" t="s">
        <v>117</v>
      </c>
      <c r="F118" s="87" t="s">
        <v>118</v>
      </c>
      <c r="G118" s="87" t="s">
        <v>119</v>
      </c>
      <c r="H118" s="87" t="s">
        <v>120</v>
      </c>
      <c r="I118" s="68" t="s">
        <v>124</v>
      </c>
      <c r="J118" s="68" t="s">
        <v>42</v>
      </c>
      <c r="K118" s="68" t="s">
        <v>125</v>
      </c>
    </row>
    <row r="119" spans="1:11" ht="19.5" customHeight="1" hidden="1">
      <c r="A119" s="69" t="s">
        <v>15</v>
      </c>
      <c r="B119" s="70">
        <f aca="true" t="shared" si="1" ref="B119:D121">+B44</f>
        <v>0.48</v>
      </c>
      <c r="C119" s="70">
        <f t="shared" si="1"/>
        <v>0.25301204819277107</v>
      </c>
      <c r="D119" s="75">
        <f t="shared" si="1"/>
        <v>417.75103392000005</v>
      </c>
      <c r="E119" s="75">
        <f aca="true" t="shared" si="2" ref="E119:F121">F112</f>
        <v>87.03146540000002</v>
      </c>
      <c r="F119" s="75">
        <f t="shared" si="2"/>
        <v>0</v>
      </c>
      <c r="G119" s="75">
        <f>+E119*InputResults!D31</f>
        <v>417.75103392000005</v>
      </c>
      <c r="H119" s="75">
        <f>+F119*InputResults!D47</f>
        <v>0</v>
      </c>
      <c r="I119" s="75">
        <f>+G119+H119</f>
        <v>417.75103392000005</v>
      </c>
      <c r="J119" s="75">
        <f>D119-I119</f>
        <v>0</v>
      </c>
      <c r="K119" s="70">
        <f>J119/D119</f>
        <v>0</v>
      </c>
    </row>
    <row r="120" spans="1:11" ht="12.75" hidden="1">
      <c r="A120" s="69" t="s">
        <v>16</v>
      </c>
      <c r="B120" s="70">
        <f t="shared" si="1"/>
        <v>0.6329113924050632</v>
      </c>
      <c r="C120" s="70">
        <f t="shared" si="1"/>
        <v>0.4216867469879518</v>
      </c>
      <c r="D120" s="75">
        <f t="shared" si="1"/>
        <v>64.78818300000002</v>
      </c>
      <c r="E120" s="75">
        <f t="shared" si="2"/>
        <v>12.957636600000003</v>
      </c>
      <c r="F120" s="75">
        <f t="shared" si="2"/>
        <v>0</v>
      </c>
      <c r="G120" s="75">
        <f>+E120*InputResults!D32</f>
        <v>64.78818300000002</v>
      </c>
      <c r="H120" s="75">
        <f>+F120*InputResults!D48</f>
        <v>0</v>
      </c>
      <c r="I120" s="75">
        <f>+G120+H120</f>
        <v>64.78818300000002</v>
      </c>
      <c r="J120" s="75">
        <f>D120-I120</f>
        <v>0</v>
      </c>
      <c r="K120" s="70">
        <f>J120/D120</f>
        <v>0</v>
      </c>
    </row>
    <row r="121" spans="1:11" ht="12.75" hidden="1">
      <c r="A121" s="69" t="s">
        <v>17</v>
      </c>
      <c r="B121" s="70">
        <f t="shared" si="1"/>
        <v>0.6219512195121951</v>
      </c>
      <c r="C121" s="70">
        <f t="shared" si="1"/>
        <v>0.25301204819277107</v>
      </c>
      <c r="D121" s="75">
        <f t="shared" si="1"/>
        <v>163.6941798</v>
      </c>
      <c r="E121" s="75">
        <f t="shared" si="2"/>
        <v>32.096898</v>
      </c>
      <c r="F121" s="75">
        <f t="shared" si="2"/>
        <v>0</v>
      </c>
      <c r="G121" s="75">
        <f>+E121*InputResults!D33</f>
        <v>163.6941798</v>
      </c>
      <c r="H121" s="75">
        <f>+F121*InputResults!D49</f>
        <v>0</v>
      </c>
      <c r="I121" s="75">
        <f>+G121+H121</f>
        <v>163.6941798</v>
      </c>
      <c r="J121" s="75">
        <f>D121-I121</f>
        <v>0</v>
      </c>
      <c r="K121" s="70">
        <f>J121/D121</f>
        <v>0</v>
      </c>
    </row>
    <row r="122" spans="1:11" ht="12.75" hidden="1">
      <c r="A122" s="69" t="s">
        <v>18</v>
      </c>
      <c r="B122" s="67"/>
      <c r="C122" s="67"/>
      <c r="D122" s="75">
        <f aca="true" t="shared" si="3" ref="D122:J122">SUM(D119:D121)</f>
        <v>646.2333967200001</v>
      </c>
      <c r="E122" s="75">
        <f t="shared" si="3"/>
        <v>132.086</v>
      </c>
      <c r="F122" s="75">
        <f t="shared" si="3"/>
        <v>0</v>
      </c>
      <c r="G122" s="75">
        <f t="shared" si="3"/>
        <v>646.2333967200001</v>
      </c>
      <c r="H122" s="75">
        <f t="shared" si="3"/>
        <v>0</v>
      </c>
      <c r="I122" s="75">
        <f t="shared" si="3"/>
        <v>646.2333967200001</v>
      </c>
      <c r="J122" s="75">
        <f t="shared" si="3"/>
        <v>0</v>
      </c>
      <c r="K122" s="70">
        <f>J122/D122</f>
        <v>0</v>
      </c>
    </row>
    <row r="123" ht="12.75" hidden="1"/>
    <row r="124" ht="12.75" hidden="1">
      <c r="A124" s="1" t="s">
        <v>167</v>
      </c>
    </row>
    <row r="125" spans="1:7" ht="38.25" hidden="1">
      <c r="A125" s="67"/>
      <c r="B125" s="68" t="s">
        <v>149</v>
      </c>
      <c r="C125" s="68" t="s">
        <v>122</v>
      </c>
      <c r="D125" s="68" t="s">
        <v>50</v>
      </c>
      <c r="E125" s="68" t="s">
        <v>126</v>
      </c>
      <c r="F125" s="68" t="s">
        <v>136</v>
      </c>
      <c r="G125" s="68" t="s">
        <v>43</v>
      </c>
    </row>
    <row r="126" spans="1:7" ht="12.75" hidden="1">
      <c r="A126" s="69" t="s">
        <v>15</v>
      </c>
      <c r="B126" s="71">
        <f>1-B119</f>
        <v>0.52</v>
      </c>
      <c r="C126" s="71">
        <f>+C37</f>
        <v>0.4</v>
      </c>
      <c r="D126" s="75">
        <f>+B106*(1-C126)*B126</f>
        <v>271.53817204800004</v>
      </c>
      <c r="E126" s="75">
        <f>+I106*(1-C126)*B126</f>
        <v>271.53817204800004</v>
      </c>
      <c r="F126" s="75">
        <f>D126-E126</f>
        <v>0</v>
      </c>
      <c r="G126" s="70">
        <f>F126/D126</f>
        <v>0</v>
      </c>
    </row>
    <row r="127" spans="1:7" ht="12.75" hidden="1">
      <c r="A127" s="69" t="s">
        <v>16</v>
      </c>
      <c r="B127" s="71">
        <f>1-B120</f>
        <v>0.3670886075949368</v>
      </c>
      <c r="C127" s="71">
        <f>+C38</f>
        <v>0.4</v>
      </c>
      <c r="D127" s="75">
        <f>+B107*(1-C127)*B127</f>
        <v>22.54628768400001</v>
      </c>
      <c r="E127" s="75">
        <f>+I107*(1-C127)*B127</f>
        <v>22.54628768400001</v>
      </c>
      <c r="F127" s="75">
        <f>D127-E127</f>
        <v>0</v>
      </c>
      <c r="G127" s="70">
        <f>F127/D127</f>
        <v>0</v>
      </c>
    </row>
    <row r="128" spans="1:7" ht="12.75" hidden="1">
      <c r="A128" s="69" t="s">
        <v>17</v>
      </c>
      <c r="B128" s="71">
        <f>1-B121</f>
        <v>0.3780487804878049</v>
      </c>
      <c r="C128" s="71">
        <f>+C39</f>
        <v>0.4</v>
      </c>
      <c r="D128" s="75">
        <f>+B108*(1-C128)*B128</f>
        <v>59.70023028</v>
      </c>
      <c r="E128" s="75">
        <f>+I108*(1-C128)*B128</f>
        <v>59.70023028</v>
      </c>
      <c r="F128" s="75">
        <f>D128-E128</f>
        <v>0</v>
      </c>
      <c r="G128" s="70">
        <f>F128/D128</f>
        <v>0</v>
      </c>
    </row>
    <row r="129" spans="1:7" ht="12.75" hidden="1">
      <c r="A129" s="69" t="s">
        <v>18</v>
      </c>
      <c r="B129" s="67"/>
      <c r="C129" s="67"/>
      <c r="D129" s="75">
        <f>SUM(D126:D128)</f>
        <v>353.78469001200006</v>
      </c>
      <c r="E129" s="75">
        <f>SUM(E126:E128)</f>
        <v>353.78469001200006</v>
      </c>
      <c r="F129" s="75">
        <f>SUM(F126:F128)</f>
        <v>0</v>
      </c>
      <c r="G129" s="70">
        <f>F129/D129</f>
        <v>0</v>
      </c>
    </row>
    <row r="130" ht="12.75" hidden="1">
      <c r="A130" s="1"/>
    </row>
    <row r="131" ht="12.75" hidden="1">
      <c r="A131" s="1" t="s">
        <v>168</v>
      </c>
    </row>
    <row r="132" ht="12.75" hidden="1">
      <c r="A132" s="1"/>
    </row>
    <row r="133" spans="1:5" ht="12.75" hidden="1">
      <c r="A133" s="10" t="s">
        <v>169</v>
      </c>
      <c r="D133" s="66">
        <f>+D104</f>
        <v>0.25</v>
      </c>
      <c r="E133" s="4" t="s">
        <v>111</v>
      </c>
    </row>
    <row r="134" spans="1:11" ht="58.5" customHeight="1" hidden="1">
      <c r="A134" s="67"/>
      <c r="B134" s="93" t="s">
        <v>112</v>
      </c>
      <c r="C134" s="68" t="s">
        <v>138</v>
      </c>
      <c r="D134" s="68" t="s">
        <v>170</v>
      </c>
      <c r="E134" s="68" t="s">
        <v>171</v>
      </c>
      <c r="F134" s="68" t="s">
        <v>334</v>
      </c>
      <c r="G134" s="89" t="s">
        <v>389</v>
      </c>
      <c r="H134" s="68" t="s">
        <v>390</v>
      </c>
      <c r="I134" s="68" t="s">
        <v>172</v>
      </c>
      <c r="J134" s="68" t="s">
        <v>173</v>
      </c>
      <c r="K134" s="68" t="s">
        <v>129</v>
      </c>
    </row>
    <row r="135" spans="1:11" ht="12.75" hidden="1">
      <c r="A135" s="69" t="s">
        <v>15</v>
      </c>
      <c r="B135" s="71">
        <f>+C106</f>
        <v>0</v>
      </c>
      <c r="C135" s="75">
        <f>+G37</f>
        <v>870.3146540000001</v>
      </c>
      <c r="D135" s="75">
        <f>+C135/C12*B135*InputResults!D41</f>
        <v>0</v>
      </c>
      <c r="E135" s="75">
        <f>+C135-D135</f>
        <v>870.3146540000001</v>
      </c>
      <c r="F135" s="71">
        <f>+F106</f>
        <v>0</v>
      </c>
      <c r="G135" s="75">
        <f>F141*InputResults!D25</f>
        <v>870.3146540000001</v>
      </c>
      <c r="H135" s="75">
        <f>G141*InputResults!D41</f>
        <v>0</v>
      </c>
      <c r="I135" s="75">
        <f>G135+H135</f>
        <v>870.3146540000001</v>
      </c>
      <c r="J135" s="75">
        <f>C135-I135</f>
        <v>0</v>
      </c>
      <c r="K135" s="70">
        <f>J135/C135</f>
        <v>0</v>
      </c>
    </row>
    <row r="136" spans="1:11" ht="12.75" hidden="1">
      <c r="A136" s="69" t="s">
        <v>16</v>
      </c>
      <c r="B136" s="71">
        <f>+C107</f>
        <v>0</v>
      </c>
      <c r="C136" s="75">
        <f>+G38</f>
        <v>102.36532914000003</v>
      </c>
      <c r="D136" s="75">
        <f>+C136/C13*B136*InputResults!D42</f>
        <v>0</v>
      </c>
      <c r="E136" s="75">
        <f>+C136-D136</f>
        <v>102.36532914000003</v>
      </c>
      <c r="F136" s="71">
        <f>+F107</f>
        <v>0</v>
      </c>
      <c r="G136" s="75">
        <f>F142*InputResults!D26</f>
        <v>102.36532914000003</v>
      </c>
      <c r="H136" s="75">
        <f>G142*InputResults!D42</f>
        <v>0</v>
      </c>
      <c r="I136" s="75">
        <f>G136+H136</f>
        <v>102.36532914000003</v>
      </c>
      <c r="J136" s="75">
        <f>C136-I136</f>
        <v>0</v>
      </c>
      <c r="K136" s="70">
        <f>J136/C136</f>
        <v>0</v>
      </c>
    </row>
    <row r="137" spans="1:11" ht="12.75" hidden="1">
      <c r="A137" s="69" t="s">
        <v>17</v>
      </c>
      <c r="B137" s="71">
        <f>+C108</f>
        <v>0</v>
      </c>
      <c r="C137" s="75">
        <f>+G39</f>
        <v>263.1945636</v>
      </c>
      <c r="D137" s="75">
        <f>+C137/C14*B137*InputResults!D43</f>
        <v>0</v>
      </c>
      <c r="E137" s="75">
        <f>+C137-D137</f>
        <v>263.1945636</v>
      </c>
      <c r="F137" s="71">
        <f>+F108</f>
        <v>0</v>
      </c>
      <c r="G137" s="75">
        <f>F143*InputResults!D27</f>
        <v>263.1945636</v>
      </c>
      <c r="H137" s="75">
        <f>G143*InputResults!D43</f>
        <v>0</v>
      </c>
      <c r="I137" s="75">
        <f>G137+H137</f>
        <v>263.1945636</v>
      </c>
      <c r="J137" s="75">
        <f>C137-I137</f>
        <v>0</v>
      </c>
      <c r="K137" s="70">
        <f>J137/C137</f>
        <v>0</v>
      </c>
    </row>
    <row r="138" spans="1:11" ht="12.75" hidden="1">
      <c r="A138" s="69" t="s">
        <v>18</v>
      </c>
      <c r="B138" s="67"/>
      <c r="C138" s="75">
        <f>SUM(C135:C137)</f>
        <v>1235.8745467400001</v>
      </c>
      <c r="D138" s="75">
        <f>SUM(D135:D137)</f>
        <v>0</v>
      </c>
      <c r="E138" s="75">
        <f>SUM(E135:E137)</f>
        <v>1235.8745467400001</v>
      </c>
      <c r="F138" s="67"/>
      <c r="G138" s="75">
        <f>SUM(G135:G137)</f>
        <v>1235.8745467400001</v>
      </c>
      <c r="H138" s="75">
        <f>SUM(H135:H137)</f>
        <v>0</v>
      </c>
      <c r="I138" s="75">
        <f>SUM(I135:I137)</f>
        <v>1235.8745467400001</v>
      </c>
      <c r="J138" s="75">
        <f>SUM(J135:J137)</f>
        <v>0</v>
      </c>
      <c r="K138" s="70">
        <f>J138/C138</f>
        <v>0</v>
      </c>
    </row>
    <row r="139" spans="1:4" s="36" customFormat="1" ht="12.75" hidden="1">
      <c r="A139" s="10" t="s">
        <v>388</v>
      </c>
      <c r="C139" s="165"/>
      <c r="D139" s="165"/>
    </row>
    <row r="140" spans="1:21" ht="38.25" hidden="1">
      <c r="A140" s="67"/>
      <c r="B140" s="68" t="s">
        <v>384</v>
      </c>
      <c r="C140" s="68" t="s">
        <v>385</v>
      </c>
      <c r="D140" s="68" t="s">
        <v>386</v>
      </c>
      <c r="E140" s="68" t="s">
        <v>404</v>
      </c>
      <c r="F140" s="68" t="s">
        <v>117</v>
      </c>
      <c r="G140" s="68" t="s">
        <v>118</v>
      </c>
      <c r="H140" s="68" t="s">
        <v>387</v>
      </c>
      <c r="I140" s="131"/>
      <c r="J140" s="131"/>
      <c r="K140" s="131"/>
      <c r="L140" s="131"/>
      <c r="M140" s="131"/>
      <c r="N140" s="11"/>
      <c r="O140" s="163"/>
      <c r="P140" s="163"/>
      <c r="Q140" s="163"/>
      <c r="R140" s="92"/>
      <c r="S140" s="163"/>
      <c r="T140" s="163"/>
      <c r="U140" s="163"/>
    </row>
    <row r="141" spans="1:21" ht="12.75" hidden="1">
      <c r="A141" s="69" t="s">
        <v>15</v>
      </c>
      <c r="B141" s="75">
        <f>C135/C12*(1-B135)</f>
        <v>87.03146540000002</v>
      </c>
      <c r="C141" s="74">
        <f>C135/C12*B135</f>
        <v>0</v>
      </c>
      <c r="D141" s="75">
        <f>B141+C141</f>
        <v>87.03146540000002</v>
      </c>
      <c r="E141" s="75">
        <f>D141*(1-$D$133*((F135-B135)/($D$133*F135+(1-$D$133))))</f>
        <v>87.03146540000002</v>
      </c>
      <c r="F141" s="74">
        <f>E141*(1-F135)</f>
        <v>87.03146540000002</v>
      </c>
      <c r="G141" s="75">
        <f>E141*F135</f>
        <v>0</v>
      </c>
      <c r="H141" s="71">
        <f>G141/E141</f>
        <v>0</v>
      </c>
      <c r="I141" s="84"/>
      <c r="J141" s="164"/>
      <c r="K141" s="84"/>
      <c r="L141" s="84"/>
      <c r="M141" s="85"/>
      <c r="N141" s="64"/>
      <c r="O141" s="92"/>
      <c r="P141" s="92"/>
      <c r="Q141" s="92"/>
      <c r="R141" s="92"/>
      <c r="S141" s="92"/>
      <c r="T141" s="92"/>
      <c r="U141" s="92"/>
    </row>
    <row r="142" spans="1:21" ht="12.75" hidden="1">
      <c r="A142" s="69" t="s">
        <v>16</v>
      </c>
      <c r="B142" s="75">
        <f>C136/C13*(1-B136)</f>
        <v>12.957636600000003</v>
      </c>
      <c r="C142" s="74">
        <f>C136/C13*B136</f>
        <v>0</v>
      </c>
      <c r="D142" s="75">
        <f>B142+C142</f>
        <v>12.957636600000003</v>
      </c>
      <c r="E142" s="75">
        <f>D142*(1-$D$133*((F136-B136)/($D$133*F136+(1-$D$133))))</f>
        <v>12.957636600000003</v>
      </c>
      <c r="F142" s="74">
        <f>E142*(1-F136)</f>
        <v>12.957636600000003</v>
      </c>
      <c r="G142" s="75">
        <f>E142*F136</f>
        <v>0</v>
      </c>
      <c r="H142" s="71">
        <f>G142/E142</f>
        <v>0</v>
      </c>
      <c r="I142" s="84"/>
      <c r="J142" s="164"/>
      <c r="K142" s="84"/>
      <c r="L142" s="84"/>
      <c r="M142" s="85"/>
      <c r="N142" s="64"/>
      <c r="O142" s="92"/>
      <c r="P142" s="92"/>
      <c r="Q142" s="92"/>
      <c r="R142" s="92"/>
      <c r="S142" s="92"/>
      <c r="T142" s="92"/>
      <c r="U142" s="92"/>
    </row>
    <row r="143" spans="1:21" ht="12.75" hidden="1">
      <c r="A143" s="69" t="s">
        <v>17</v>
      </c>
      <c r="B143" s="75">
        <f>C137/C14*(1-B137)</f>
        <v>32.096898</v>
      </c>
      <c r="C143" s="74">
        <f>C137/C14*B137</f>
        <v>0</v>
      </c>
      <c r="D143" s="75">
        <f>B143+C143</f>
        <v>32.096898</v>
      </c>
      <c r="E143" s="75">
        <f>D143*(1-$D$133*((F137-B137)/($D$133*F137+(1-$D$133))))</f>
        <v>32.096898</v>
      </c>
      <c r="F143" s="74">
        <f>E143*(1-F137)</f>
        <v>32.096898</v>
      </c>
      <c r="G143" s="75">
        <f>E143*F137</f>
        <v>0</v>
      </c>
      <c r="H143" s="71">
        <f>G143/E143</f>
        <v>0</v>
      </c>
      <c r="I143" s="84"/>
      <c r="J143" s="164"/>
      <c r="K143" s="84"/>
      <c r="L143" s="84"/>
      <c r="M143" s="85"/>
      <c r="N143" s="64"/>
      <c r="O143" s="92"/>
      <c r="P143" s="92"/>
      <c r="Q143" s="92"/>
      <c r="R143" s="92"/>
      <c r="S143" s="92"/>
      <c r="T143" s="92"/>
      <c r="U143" s="92"/>
    </row>
    <row r="144" spans="1:14" ht="12.75" hidden="1">
      <c r="A144" s="69" t="s">
        <v>18</v>
      </c>
      <c r="B144" s="75">
        <f aca="true" t="shared" si="4" ref="B144:G144">SUM(B141:B143)</f>
        <v>132.086</v>
      </c>
      <c r="C144" s="75">
        <f t="shared" si="4"/>
        <v>0</v>
      </c>
      <c r="D144" s="75">
        <f t="shared" si="4"/>
        <v>132.086</v>
      </c>
      <c r="E144" s="75">
        <f t="shared" si="4"/>
        <v>132.086</v>
      </c>
      <c r="F144" s="75">
        <f t="shared" si="4"/>
        <v>132.086</v>
      </c>
      <c r="G144" s="75">
        <f t="shared" si="4"/>
        <v>0</v>
      </c>
      <c r="H144" s="71"/>
      <c r="I144" s="84"/>
      <c r="J144" s="84"/>
      <c r="K144" s="84"/>
      <c r="L144" s="84"/>
      <c r="M144" s="85"/>
      <c r="N144" s="64"/>
    </row>
    <row r="145" spans="1:15" ht="12.75" hidden="1">
      <c r="A145" s="83"/>
      <c r="B145" s="83"/>
      <c r="C145" s="84"/>
      <c r="D145" s="92"/>
      <c r="E145" s="84"/>
      <c r="F145" s="92"/>
      <c r="G145" s="84"/>
      <c r="H145" s="84"/>
      <c r="I145" s="84"/>
      <c r="J145" s="92"/>
      <c r="K145" s="84"/>
      <c r="L145" s="84"/>
      <c r="M145" s="84"/>
      <c r="N145" s="84"/>
      <c r="O145" s="85"/>
    </row>
    <row r="146" ht="12.75" hidden="1">
      <c r="A146" s="10" t="s">
        <v>174</v>
      </c>
    </row>
    <row r="147" spans="1:11" ht="51" hidden="1">
      <c r="A147" s="67"/>
      <c r="B147" s="93" t="s">
        <v>112</v>
      </c>
      <c r="C147" s="68" t="s">
        <v>146</v>
      </c>
      <c r="D147" s="68" t="s">
        <v>334</v>
      </c>
      <c r="E147" s="68" t="s">
        <v>117</v>
      </c>
      <c r="F147" s="68" t="s">
        <v>118</v>
      </c>
      <c r="G147" s="68" t="s">
        <v>119</v>
      </c>
      <c r="H147" s="68" t="s">
        <v>120</v>
      </c>
      <c r="I147" s="87" t="s">
        <v>175</v>
      </c>
      <c r="J147" s="87" t="s">
        <v>42</v>
      </c>
      <c r="K147" s="87" t="s">
        <v>125</v>
      </c>
    </row>
    <row r="148" spans="1:11" ht="12.75" hidden="1">
      <c r="A148" s="69" t="s">
        <v>15</v>
      </c>
      <c r="B148" s="71">
        <f>+C106</f>
        <v>0</v>
      </c>
      <c r="C148" s="74">
        <f>+F44</f>
        <v>417.75103392000005</v>
      </c>
      <c r="D148" s="71">
        <f>+F106</f>
        <v>0</v>
      </c>
      <c r="E148" s="75">
        <f aca="true" t="shared" si="5" ref="E148:F150">F141</f>
        <v>87.03146540000002</v>
      </c>
      <c r="F148" s="75">
        <f t="shared" si="5"/>
        <v>0</v>
      </c>
      <c r="G148" s="74">
        <f>+E148*InputResults!D31</f>
        <v>417.75103392000005</v>
      </c>
      <c r="H148" s="74">
        <f>+F148*InputResults!D47</f>
        <v>0</v>
      </c>
      <c r="I148" s="75">
        <f>+G148+H148</f>
        <v>417.75103392000005</v>
      </c>
      <c r="J148" s="75">
        <f>+C148-I148</f>
        <v>0</v>
      </c>
      <c r="K148" s="71">
        <f>+J148/C148</f>
        <v>0</v>
      </c>
    </row>
    <row r="149" spans="1:11" ht="12.75" hidden="1">
      <c r="A149" s="69" t="s">
        <v>16</v>
      </c>
      <c r="B149" s="71">
        <f>+C107</f>
        <v>0</v>
      </c>
      <c r="C149" s="74">
        <f>+F45</f>
        <v>64.78818300000002</v>
      </c>
      <c r="D149" s="71">
        <f>+F107</f>
        <v>0</v>
      </c>
      <c r="E149" s="75">
        <f t="shared" si="5"/>
        <v>12.957636600000003</v>
      </c>
      <c r="F149" s="75">
        <f t="shared" si="5"/>
        <v>0</v>
      </c>
      <c r="G149" s="74">
        <f>+E149*InputResults!D32</f>
        <v>64.78818300000002</v>
      </c>
      <c r="H149" s="74">
        <f>+F149*InputResults!D48</f>
        <v>0</v>
      </c>
      <c r="I149" s="75">
        <f>+G149+H149</f>
        <v>64.78818300000002</v>
      </c>
      <c r="J149" s="75">
        <f>+C149-I149</f>
        <v>0</v>
      </c>
      <c r="K149" s="71">
        <f>+J149/C149</f>
        <v>0</v>
      </c>
    </row>
    <row r="150" spans="1:11" ht="12.75" hidden="1">
      <c r="A150" s="69" t="s">
        <v>17</v>
      </c>
      <c r="B150" s="71">
        <f>+C108</f>
        <v>0</v>
      </c>
      <c r="C150" s="74">
        <f>+F46</f>
        <v>163.6941798</v>
      </c>
      <c r="D150" s="71">
        <f>+F108</f>
        <v>0</v>
      </c>
      <c r="E150" s="75">
        <f t="shared" si="5"/>
        <v>32.096898</v>
      </c>
      <c r="F150" s="75">
        <f t="shared" si="5"/>
        <v>0</v>
      </c>
      <c r="G150" s="74">
        <f>+E150*InputResults!D33</f>
        <v>163.6941798</v>
      </c>
      <c r="H150" s="74">
        <f>+F150*InputResults!D49</f>
        <v>0</v>
      </c>
      <c r="I150" s="75">
        <f>+G150+H150</f>
        <v>163.6941798</v>
      </c>
      <c r="J150" s="75">
        <f>+C150-I150</f>
        <v>0</v>
      </c>
      <c r="K150" s="71">
        <f>+J150/C150</f>
        <v>0</v>
      </c>
    </row>
    <row r="151" spans="1:11" ht="12.75" hidden="1">
      <c r="A151" s="69" t="s">
        <v>18</v>
      </c>
      <c r="B151" s="69"/>
      <c r="C151" s="75">
        <f>SUM(C148:C150)</f>
        <v>646.2333967200001</v>
      </c>
      <c r="D151" s="71"/>
      <c r="E151" s="75">
        <f aca="true" t="shared" si="6" ref="E151:J151">SUM(E148:E150)</f>
        <v>132.086</v>
      </c>
      <c r="F151" s="75">
        <f t="shared" si="6"/>
        <v>0</v>
      </c>
      <c r="G151" s="75">
        <f t="shared" si="6"/>
        <v>646.2333967200001</v>
      </c>
      <c r="H151" s="75">
        <f t="shared" si="6"/>
        <v>0</v>
      </c>
      <c r="I151" s="75">
        <f t="shared" si="6"/>
        <v>646.2333967200001</v>
      </c>
      <c r="J151" s="75">
        <f t="shared" si="6"/>
        <v>0</v>
      </c>
      <c r="K151" s="90">
        <f>+J151/C151</f>
        <v>0</v>
      </c>
    </row>
    <row r="152" spans="1:12" ht="12.75" hidden="1">
      <c r="A152" s="83"/>
      <c r="B152" s="83"/>
      <c r="C152" s="84"/>
      <c r="D152" s="92"/>
      <c r="E152" s="84"/>
      <c r="F152" s="94"/>
      <c r="G152" s="84"/>
      <c r="H152" s="84"/>
      <c r="I152" s="84"/>
      <c r="J152" s="84"/>
      <c r="K152" s="84"/>
      <c r="L152" s="95"/>
    </row>
    <row r="153" spans="1:3" ht="12.75" hidden="1">
      <c r="A153" s="10" t="s">
        <v>176</v>
      </c>
      <c r="C153" s="4" t="s">
        <v>121</v>
      </c>
    </row>
    <row r="154" spans="1:9" ht="63.75" hidden="1">
      <c r="A154" s="67"/>
      <c r="B154" s="67" t="s">
        <v>112</v>
      </c>
      <c r="C154" s="68" t="s">
        <v>135</v>
      </c>
      <c r="D154" s="68" t="s">
        <v>139</v>
      </c>
      <c r="E154" s="68" t="s">
        <v>150</v>
      </c>
      <c r="F154" s="68" t="s">
        <v>334</v>
      </c>
      <c r="G154" s="87" t="s">
        <v>177</v>
      </c>
      <c r="H154" s="87" t="s">
        <v>178</v>
      </c>
      <c r="I154" s="87" t="s">
        <v>43</v>
      </c>
    </row>
    <row r="155" spans="1:9" ht="12.75" hidden="1">
      <c r="A155" s="69" t="s">
        <v>15</v>
      </c>
      <c r="B155" s="71">
        <f>+C106</f>
        <v>0</v>
      </c>
      <c r="C155" s="71">
        <f>+B51</f>
        <v>0.52</v>
      </c>
      <c r="D155" s="71">
        <f>+F37</f>
        <v>0.4</v>
      </c>
      <c r="E155" s="75">
        <f>+H37*C155</f>
        <v>271.53817204800004</v>
      </c>
      <c r="F155" s="70">
        <f>+F106</f>
        <v>0</v>
      </c>
      <c r="G155" s="75">
        <f>+I135*(1-D155)*C155</f>
        <v>271.53817204800004</v>
      </c>
      <c r="H155" s="75">
        <f>+E155-G155</f>
        <v>0</v>
      </c>
      <c r="I155" s="71">
        <f>H155/E155</f>
        <v>0</v>
      </c>
    </row>
    <row r="156" spans="1:9" ht="12.75" hidden="1">
      <c r="A156" s="69" t="s">
        <v>16</v>
      </c>
      <c r="B156" s="71">
        <f>+C107</f>
        <v>0</v>
      </c>
      <c r="C156" s="71">
        <f>+B52</f>
        <v>0.3670886075949368</v>
      </c>
      <c r="D156" s="71">
        <f>+F38</f>
        <v>0.4</v>
      </c>
      <c r="E156" s="75">
        <f>+H38*C156</f>
        <v>22.54628768400001</v>
      </c>
      <c r="F156" s="70">
        <f>+F107</f>
        <v>0</v>
      </c>
      <c r="G156" s="75">
        <f>+I136*(1-D156)*C156</f>
        <v>22.54628768400001</v>
      </c>
      <c r="H156" s="75">
        <f>+E156-G156</f>
        <v>0</v>
      </c>
      <c r="I156" s="71">
        <f>H156/E156</f>
        <v>0</v>
      </c>
    </row>
    <row r="157" spans="1:9" ht="12.75" hidden="1">
      <c r="A157" s="69" t="s">
        <v>17</v>
      </c>
      <c r="B157" s="71">
        <f>+C108</f>
        <v>0</v>
      </c>
      <c r="C157" s="71">
        <f>+B53</f>
        <v>0.3780487804878049</v>
      </c>
      <c r="D157" s="71">
        <f>+F39</f>
        <v>0.4</v>
      </c>
      <c r="E157" s="75">
        <f>+H39*C157</f>
        <v>59.700230279999985</v>
      </c>
      <c r="F157" s="70">
        <f>+F108</f>
        <v>0</v>
      </c>
      <c r="G157" s="75">
        <f>+I137*(1-D157)*C157</f>
        <v>59.70023028</v>
      </c>
      <c r="H157" s="75">
        <f>+E157-G157</f>
        <v>0</v>
      </c>
      <c r="I157" s="71">
        <f>H157/E157</f>
        <v>0</v>
      </c>
    </row>
    <row r="158" spans="1:9" ht="12.75" hidden="1">
      <c r="A158" s="69" t="s">
        <v>18</v>
      </c>
      <c r="B158" s="67"/>
      <c r="C158" s="75"/>
      <c r="D158" s="67"/>
      <c r="E158" s="75">
        <f>SUM(E155:E157)</f>
        <v>353.784690012</v>
      </c>
      <c r="F158" s="70"/>
      <c r="G158" s="75">
        <f>SUM(G155:G157)</f>
        <v>353.78469001200006</v>
      </c>
      <c r="H158" s="75">
        <f>SUM(H155:H157)</f>
        <v>0</v>
      </c>
      <c r="I158" s="71">
        <f>H158/E158</f>
        <v>0</v>
      </c>
    </row>
    <row r="159" ht="12.75" hidden="1">
      <c r="A159" s="1"/>
    </row>
    <row r="160" ht="12.75" hidden="1">
      <c r="A160" s="1" t="s">
        <v>179</v>
      </c>
    </row>
    <row r="161" ht="12.75" hidden="1">
      <c r="A161" s="1"/>
    </row>
    <row r="162" spans="1:5" ht="12.75" hidden="1">
      <c r="A162" s="10" t="s">
        <v>203</v>
      </c>
      <c r="D162" s="66">
        <f>+D133</f>
        <v>0.25</v>
      </c>
      <c r="E162" s="4" t="s">
        <v>111</v>
      </c>
    </row>
    <row r="163" spans="1:11" ht="38.25" hidden="1">
      <c r="A163" s="67"/>
      <c r="B163" s="93" t="s">
        <v>112</v>
      </c>
      <c r="C163" s="68" t="s">
        <v>180</v>
      </c>
      <c r="D163" s="68" t="s">
        <v>181</v>
      </c>
      <c r="E163" s="68" t="s">
        <v>182</v>
      </c>
      <c r="F163" s="68" t="s">
        <v>334</v>
      </c>
      <c r="G163" s="89" t="s">
        <v>392</v>
      </c>
      <c r="H163" s="68" t="s">
        <v>393</v>
      </c>
      <c r="I163" s="68" t="s">
        <v>183</v>
      </c>
      <c r="J163" s="68" t="s">
        <v>184</v>
      </c>
      <c r="K163" s="68" t="s">
        <v>185</v>
      </c>
    </row>
    <row r="164" spans="1:11" ht="12.75" hidden="1">
      <c r="A164" s="69" t="s">
        <v>15</v>
      </c>
      <c r="B164" s="71">
        <f>+C106</f>
        <v>0</v>
      </c>
      <c r="C164" s="75">
        <f>+G60</f>
        <v>870.3146540000001</v>
      </c>
      <c r="D164" s="75">
        <f>+C164/C12*B164*InputResults!D41</f>
        <v>0</v>
      </c>
      <c r="E164" s="75">
        <f>+C164-D164</f>
        <v>870.3146540000001</v>
      </c>
      <c r="F164" s="71">
        <f>+F135</f>
        <v>0</v>
      </c>
      <c r="G164" s="75">
        <f>F170*InputResults!D25</f>
        <v>870.3146540000001</v>
      </c>
      <c r="H164" s="159">
        <f>G170*InputResults!D41</f>
        <v>0</v>
      </c>
      <c r="I164" s="75">
        <f>G164+H164</f>
        <v>870.3146540000001</v>
      </c>
      <c r="J164" s="75">
        <f>+C164-I164</f>
        <v>0</v>
      </c>
      <c r="K164" s="70">
        <f>J164/C164</f>
        <v>0</v>
      </c>
    </row>
    <row r="165" spans="1:11" ht="12.75" hidden="1">
      <c r="A165" s="69" t="s">
        <v>16</v>
      </c>
      <c r="B165" s="71">
        <f>+C107</f>
        <v>0</v>
      </c>
      <c r="C165" s="75">
        <f>+G61</f>
        <v>102.36532914000003</v>
      </c>
      <c r="D165" s="75">
        <f>+C165/C13*B165*InputResults!D42</f>
        <v>0</v>
      </c>
      <c r="E165" s="75">
        <f>+C165-D165</f>
        <v>102.36532914000003</v>
      </c>
      <c r="F165" s="71">
        <f>+F136</f>
        <v>0</v>
      </c>
      <c r="G165" s="75">
        <f>F171*InputResults!D26</f>
        <v>102.36532914000003</v>
      </c>
      <c r="H165" s="159">
        <f>G171*InputResults!D42</f>
        <v>0</v>
      </c>
      <c r="I165" s="75">
        <f>G165+H165</f>
        <v>102.36532914000003</v>
      </c>
      <c r="J165" s="75">
        <f>+C165-I165</f>
        <v>0</v>
      </c>
      <c r="K165" s="70">
        <f>J165/C165</f>
        <v>0</v>
      </c>
    </row>
    <row r="166" spans="1:11" ht="12.75" hidden="1">
      <c r="A166" s="69" t="s">
        <v>17</v>
      </c>
      <c r="B166" s="71">
        <f>+C108</f>
        <v>0</v>
      </c>
      <c r="C166" s="75">
        <f>+G62</f>
        <v>263.1945636</v>
      </c>
      <c r="D166" s="75">
        <f>+C166/C14*B166*InputResults!D43</f>
        <v>0</v>
      </c>
      <c r="E166" s="75">
        <f>+C166-D166</f>
        <v>263.1945636</v>
      </c>
      <c r="F166" s="71">
        <f>+F137</f>
        <v>0</v>
      </c>
      <c r="G166" s="75">
        <f>F172*InputResults!D27</f>
        <v>263.1945636</v>
      </c>
      <c r="H166" s="159">
        <f>G172*InputResults!D43</f>
        <v>0</v>
      </c>
      <c r="I166" s="75">
        <f>G166+H166</f>
        <v>263.1945636</v>
      </c>
      <c r="J166" s="75">
        <f>+C166-I166</f>
        <v>0</v>
      </c>
      <c r="K166" s="70">
        <f>J166/C166</f>
        <v>0</v>
      </c>
    </row>
    <row r="167" spans="1:11" ht="12.75" hidden="1">
      <c r="A167" s="69" t="s">
        <v>18</v>
      </c>
      <c r="B167" s="67"/>
      <c r="C167" s="75">
        <f>SUM(C164:C166)</f>
        <v>1235.8745467400001</v>
      </c>
      <c r="D167" s="75">
        <f>SUM(D164:D166)</f>
        <v>0</v>
      </c>
      <c r="E167" s="75">
        <f>SUM(E164:E166)</f>
        <v>1235.8745467400001</v>
      </c>
      <c r="F167" s="67"/>
      <c r="G167" s="75">
        <f>SUM(G164:G166)</f>
        <v>1235.8745467400001</v>
      </c>
      <c r="H167" s="75">
        <f>SUM(H164:H166)</f>
        <v>0</v>
      </c>
      <c r="I167" s="75">
        <f>SUM(I164:I166)</f>
        <v>1235.8745467400001</v>
      </c>
      <c r="J167" s="75">
        <f>SUM(J164:J166)</f>
        <v>0</v>
      </c>
      <c r="K167" s="70">
        <f>J167/C167</f>
        <v>0</v>
      </c>
    </row>
    <row r="168" spans="1:4" s="36" customFormat="1" ht="12.75" hidden="1">
      <c r="A168" s="10" t="s">
        <v>391</v>
      </c>
      <c r="C168" s="165"/>
      <c r="D168" s="165"/>
    </row>
    <row r="169" spans="1:21" ht="38.25" hidden="1">
      <c r="A169" s="67"/>
      <c r="B169" s="68" t="s">
        <v>384</v>
      </c>
      <c r="C169" s="68" t="s">
        <v>385</v>
      </c>
      <c r="D169" s="68" t="s">
        <v>386</v>
      </c>
      <c r="E169" s="68" t="s">
        <v>404</v>
      </c>
      <c r="F169" s="68" t="s">
        <v>117</v>
      </c>
      <c r="G169" s="68" t="s">
        <v>118</v>
      </c>
      <c r="H169" s="68" t="s">
        <v>387</v>
      </c>
      <c r="I169" s="131"/>
      <c r="J169" s="131"/>
      <c r="K169" s="131"/>
      <c r="L169" s="131"/>
      <c r="M169" s="131"/>
      <c r="N169" s="11"/>
      <c r="O169" s="163"/>
      <c r="P169" s="163"/>
      <c r="Q169" s="163"/>
      <c r="R169" s="92"/>
      <c r="S169" s="163"/>
      <c r="T169" s="163"/>
      <c r="U169" s="163"/>
    </row>
    <row r="170" spans="1:21" ht="12.75" hidden="1">
      <c r="A170" s="69" t="s">
        <v>15</v>
      </c>
      <c r="B170" s="75">
        <f>C164/C12*(1-B164)</f>
        <v>87.03146540000002</v>
      </c>
      <c r="C170" s="74">
        <f>C164/C12*B164</f>
        <v>0</v>
      </c>
      <c r="D170" s="75">
        <f>B170+C170</f>
        <v>87.03146540000002</v>
      </c>
      <c r="E170" s="75">
        <f>D170*(1-$D$162*((F164-B164)/($D$162*F164+(1-$D$162))))</f>
        <v>87.03146540000002</v>
      </c>
      <c r="F170" s="74">
        <f>E170*(1-F164)</f>
        <v>87.03146540000002</v>
      </c>
      <c r="G170" s="75">
        <f>E170*F164</f>
        <v>0</v>
      </c>
      <c r="H170" s="71">
        <f>G170/E170</f>
        <v>0</v>
      </c>
      <c r="I170" s="84"/>
      <c r="J170" s="164"/>
      <c r="K170" s="84"/>
      <c r="L170" s="84"/>
      <c r="M170" s="85"/>
      <c r="N170" s="64"/>
      <c r="O170" s="92"/>
      <c r="P170" s="92"/>
      <c r="Q170" s="92"/>
      <c r="R170" s="92"/>
      <c r="S170" s="92"/>
      <c r="T170" s="92"/>
      <c r="U170" s="92"/>
    </row>
    <row r="171" spans="1:21" ht="12.75" hidden="1">
      <c r="A171" s="69" t="s">
        <v>16</v>
      </c>
      <c r="B171" s="75">
        <f>C165/C13*(1-B165)</f>
        <v>12.957636600000003</v>
      </c>
      <c r="C171" s="74">
        <f>C165/C13*B165</f>
        <v>0</v>
      </c>
      <c r="D171" s="75">
        <f>B171+C171</f>
        <v>12.957636600000003</v>
      </c>
      <c r="E171" s="75">
        <f>D171*(1-$D$162*((F165-B165)/($D$162*F165+(1-$D$162))))</f>
        <v>12.957636600000003</v>
      </c>
      <c r="F171" s="74">
        <f>E171*(1-F165)</f>
        <v>12.957636600000003</v>
      </c>
      <c r="G171" s="75">
        <f>E171*F165</f>
        <v>0</v>
      </c>
      <c r="H171" s="71">
        <f>G171/E171</f>
        <v>0</v>
      </c>
      <c r="I171" s="84"/>
      <c r="J171" s="164"/>
      <c r="K171" s="84"/>
      <c r="L171" s="84"/>
      <c r="M171" s="85"/>
      <c r="N171" s="64"/>
      <c r="O171" s="92"/>
      <c r="P171" s="92"/>
      <c r="Q171" s="92"/>
      <c r="R171" s="92"/>
      <c r="S171" s="92"/>
      <c r="T171" s="92"/>
      <c r="U171" s="92"/>
    </row>
    <row r="172" spans="1:21" ht="12.75" hidden="1">
      <c r="A172" s="69" t="s">
        <v>17</v>
      </c>
      <c r="B172" s="75">
        <f>C166/C14*(1-B166)</f>
        <v>32.096898</v>
      </c>
      <c r="C172" s="74">
        <f>C166/C14*B166</f>
        <v>0</v>
      </c>
      <c r="D172" s="75">
        <f>B172+C172</f>
        <v>32.096898</v>
      </c>
      <c r="E172" s="75">
        <f>D172*(1-$D$162*((F166-B166)/($D$162*F166+(1-$D$162))))</f>
        <v>32.096898</v>
      </c>
      <c r="F172" s="74">
        <f>E172*(1-F166)</f>
        <v>32.096898</v>
      </c>
      <c r="G172" s="75">
        <f>E172*F166</f>
        <v>0</v>
      </c>
      <c r="H172" s="71">
        <f>G172/E172</f>
        <v>0</v>
      </c>
      <c r="I172" s="84"/>
      <c r="J172" s="164"/>
      <c r="K172" s="84"/>
      <c r="L172" s="84"/>
      <c r="M172" s="85"/>
      <c r="N172" s="64"/>
      <c r="O172" s="92"/>
      <c r="P172" s="92"/>
      <c r="Q172" s="92"/>
      <c r="R172" s="92"/>
      <c r="S172" s="92"/>
      <c r="T172" s="92"/>
      <c r="U172" s="92"/>
    </row>
    <row r="173" spans="1:14" ht="12.75" hidden="1">
      <c r="A173" s="69" t="s">
        <v>18</v>
      </c>
      <c r="B173" s="75">
        <f aca="true" t="shared" si="7" ref="B173:G173">SUM(B170:B172)</f>
        <v>132.086</v>
      </c>
      <c r="C173" s="75">
        <f t="shared" si="7"/>
        <v>0</v>
      </c>
      <c r="D173" s="75">
        <f t="shared" si="7"/>
        <v>132.086</v>
      </c>
      <c r="E173" s="75">
        <f t="shared" si="7"/>
        <v>132.086</v>
      </c>
      <c r="F173" s="75">
        <f t="shared" si="7"/>
        <v>132.086</v>
      </c>
      <c r="G173" s="75">
        <f t="shared" si="7"/>
        <v>0</v>
      </c>
      <c r="H173" s="71"/>
      <c r="I173" s="84"/>
      <c r="J173" s="84"/>
      <c r="K173" s="84"/>
      <c r="L173" s="84"/>
      <c r="M173" s="85"/>
      <c r="N173" s="64"/>
    </row>
    <row r="174" spans="1:15" ht="12.75" hidden="1">
      <c r="A174" s="83"/>
      <c r="B174" s="83"/>
      <c r="C174" s="84"/>
      <c r="D174" s="92"/>
      <c r="E174" s="84"/>
      <c r="F174" s="92"/>
      <c r="G174" s="84"/>
      <c r="H174" s="84"/>
      <c r="I174" s="84"/>
      <c r="J174" s="92"/>
      <c r="K174" s="84"/>
      <c r="L174" s="84"/>
      <c r="M174" s="84"/>
      <c r="N174" s="84"/>
      <c r="O174" s="85"/>
    </row>
    <row r="175" ht="12.75" hidden="1">
      <c r="A175" s="10" t="s">
        <v>204</v>
      </c>
    </row>
    <row r="176" spans="1:11" ht="51" hidden="1">
      <c r="A176" s="67"/>
      <c r="B176" s="93" t="s">
        <v>112</v>
      </c>
      <c r="C176" s="68" t="s">
        <v>186</v>
      </c>
      <c r="D176" s="68" t="s">
        <v>334</v>
      </c>
      <c r="E176" s="68" t="s">
        <v>117</v>
      </c>
      <c r="F176" s="68" t="s">
        <v>118</v>
      </c>
      <c r="G176" s="68" t="s">
        <v>119</v>
      </c>
      <c r="H176" s="68" t="s">
        <v>120</v>
      </c>
      <c r="I176" s="87" t="s">
        <v>175</v>
      </c>
      <c r="J176" s="87" t="s">
        <v>42</v>
      </c>
      <c r="K176" s="87" t="s">
        <v>125</v>
      </c>
    </row>
    <row r="177" spans="1:11" ht="12.75" hidden="1">
      <c r="A177" s="69" t="s">
        <v>15</v>
      </c>
      <c r="B177" s="71">
        <f>+C106</f>
        <v>0</v>
      </c>
      <c r="C177" s="74">
        <f>+D67</f>
        <v>417.75103392000005</v>
      </c>
      <c r="D177" s="71">
        <f>+F135</f>
        <v>0</v>
      </c>
      <c r="E177" s="75">
        <f aca="true" t="shared" si="8" ref="E177:F179">F170</f>
        <v>87.03146540000002</v>
      </c>
      <c r="F177" s="75">
        <f t="shared" si="8"/>
        <v>0</v>
      </c>
      <c r="G177" s="74">
        <f>+E177*InputResults!D31</f>
        <v>417.75103392000005</v>
      </c>
      <c r="H177" s="74">
        <f>+F177*InputResults!D47</f>
        <v>0</v>
      </c>
      <c r="I177" s="75">
        <f>+G177+H177</f>
        <v>417.75103392000005</v>
      </c>
      <c r="J177" s="75">
        <f>+C177-I177</f>
        <v>0</v>
      </c>
      <c r="K177" s="71">
        <f>+J177/C177</f>
        <v>0</v>
      </c>
    </row>
    <row r="178" spans="1:11" ht="12.75" hidden="1">
      <c r="A178" s="69" t="s">
        <v>16</v>
      </c>
      <c r="B178" s="71">
        <f>+C107</f>
        <v>0</v>
      </c>
      <c r="C178" s="74">
        <f>+D68</f>
        <v>64.78818300000002</v>
      </c>
      <c r="D178" s="71">
        <f>+F136</f>
        <v>0</v>
      </c>
      <c r="E178" s="75">
        <f t="shared" si="8"/>
        <v>12.957636600000003</v>
      </c>
      <c r="F178" s="75">
        <f t="shared" si="8"/>
        <v>0</v>
      </c>
      <c r="G178" s="74">
        <f>+E178*InputResults!D32</f>
        <v>64.78818300000002</v>
      </c>
      <c r="H178" s="74">
        <f>+F178*InputResults!D48</f>
        <v>0</v>
      </c>
      <c r="I178" s="75">
        <f>+G178+H178</f>
        <v>64.78818300000002</v>
      </c>
      <c r="J178" s="75">
        <f>+C178-I178</f>
        <v>0</v>
      </c>
      <c r="K178" s="71">
        <f>+J178/C178</f>
        <v>0</v>
      </c>
    </row>
    <row r="179" spans="1:11" ht="12.75" hidden="1">
      <c r="A179" s="69" t="s">
        <v>17</v>
      </c>
      <c r="B179" s="71">
        <f>+C108</f>
        <v>0</v>
      </c>
      <c r="C179" s="74">
        <f>+D69</f>
        <v>163.6941798</v>
      </c>
      <c r="D179" s="71">
        <f>+F137</f>
        <v>0</v>
      </c>
      <c r="E179" s="75">
        <f t="shared" si="8"/>
        <v>32.096898</v>
      </c>
      <c r="F179" s="75">
        <f t="shared" si="8"/>
        <v>0</v>
      </c>
      <c r="G179" s="74">
        <f>+E179*InputResults!D33</f>
        <v>163.6941798</v>
      </c>
      <c r="H179" s="74">
        <f>+F179*InputResults!D49</f>
        <v>0</v>
      </c>
      <c r="I179" s="75">
        <f>+G179+H179</f>
        <v>163.6941798</v>
      </c>
      <c r="J179" s="75">
        <f>+C179-I179</f>
        <v>0</v>
      </c>
      <c r="K179" s="71">
        <f>+J179/C179</f>
        <v>0</v>
      </c>
    </row>
    <row r="180" spans="1:11" ht="12.75" hidden="1">
      <c r="A180" s="69" t="s">
        <v>18</v>
      </c>
      <c r="B180" s="69"/>
      <c r="C180" s="75">
        <f>SUM(C177:C179)</f>
        <v>646.2333967200001</v>
      </c>
      <c r="D180" s="71"/>
      <c r="E180" s="75">
        <f aca="true" t="shared" si="9" ref="E180:J180">SUM(E177:E179)</f>
        <v>132.086</v>
      </c>
      <c r="F180" s="75">
        <f t="shared" si="9"/>
        <v>0</v>
      </c>
      <c r="G180" s="75">
        <f t="shared" si="9"/>
        <v>646.2333967200001</v>
      </c>
      <c r="H180" s="75">
        <f t="shared" si="9"/>
        <v>0</v>
      </c>
      <c r="I180" s="75">
        <f t="shared" si="9"/>
        <v>646.2333967200001</v>
      </c>
      <c r="J180" s="75">
        <f t="shared" si="9"/>
        <v>0</v>
      </c>
      <c r="K180" s="90">
        <f>+J180/C180</f>
        <v>0</v>
      </c>
    </row>
    <row r="181" spans="1:12" ht="12.75" hidden="1">
      <c r="A181" s="83"/>
      <c r="B181" s="83"/>
      <c r="C181" s="84"/>
      <c r="D181" s="92"/>
      <c r="E181" s="84"/>
      <c r="F181" s="94"/>
      <c r="G181" s="84"/>
      <c r="H181" s="84"/>
      <c r="I181" s="84"/>
      <c r="J181" s="84"/>
      <c r="K181" s="84"/>
      <c r="L181" s="95"/>
    </row>
    <row r="182" spans="1:3" ht="12.75" hidden="1">
      <c r="A182" s="10" t="s">
        <v>205</v>
      </c>
      <c r="C182" s="4" t="s">
        <v>121</v>
      </c>
    </row>
    <row r="183" spans="1:9" ht="51" hidden="1">
      <c r="A183" s="67"/>
      <c r="B183" s="67" t="s">
        <v>112</v>
      </c>
      <c r="C183" s="68" t="s">
        <v>135</v>
      </c>
      <c r="D183" s="68" t="s">
        <v>187</v>
      </c>
      <c r="E183" s="68" t="s">
        <v>159</v>
      </c>
      <c r="F183" s="68" t="s">
        <v>334</v>
      </c>
      <c r="G183" s="87" t="s">
        <v>188</v>
      </c>
      <c r="H183" s="87" t="s">
        <v>189</v>
      </c>
      <c r="I183" s="87" t="s">
        <v>43</v>
      </c>
    </row>
    <row r="184" spans="1:9" ht="12.75" hidden="1">
      <c r="A184" s="69" t="s">
        <v>15</v>
      </c>
      <c r="B184" s="71">
        <f>+C106</f>
        <v>0</v>
      </c>
      <c r="C184" s="71">
        <f>+B74</f>
        <v>0.52</v>
      </c>
      <c r="D184" s="71">
        <f>+F60</f>
        <v>0.4</v>
      </c>
      <c r="E184" s="75">
        <f>+H60*C184</f>
        <v>271.53817204800004</v>
      </c>
      <c r="F184" s="70">
        <f>+F135</f>
        <v>0</v>
      </c>
      <c r="G184" s="75">
        <f>+I164*(1-D184)*C184</f>
        <v>271.53817204800004</v>
      </c>
      <c r="H184" s="75">
        <f>+E184-G184</f>
        <v>0</v>
      </c>
      <c r="I184" s="71">
        <f>H184/E184</f>
        <v>0</v>
      </c>
    </row>
    <row r="185" spans="1:9" ht="12.75" hidden="1">
      <c r="A185" s="69" t="s">
        <v>16</v>
      </c>
      <c r="B185" s="71">
        <f>+C107</f>
        <v>0</v>
      </c>
      <c r="C185" s="71">
        <f>+B75</f>
        <v>0.3670886075949368</v>
      </c>
      <c r="D185" s="71">
        <f>+F61</f>
        <v>0.4</v>
      </c>
      <c r="E185" s="75">
        <f>+H61*C185</f>
        <v>22.54628768400001</v>
      </c>
      <c r="F185" s="70">
        <f>+F136</f>
        <v>0</v>
      </c>
      <c r="G185" s="75">
        <f>+I165*(1-D185)*C185</f>
        <v>22.54628768400001</v>
      </c>
      <c r="H185" s="75">
        <f>+E185-G185</f>
        <v>0</v>
      </c>
      <c r="I185" s="71">
        <f>H185/E185</f>
        <v>0</v>
      </c>
    </row>
    <row r="186" spans="1:9" ht="12.75" hidden="1">
      <c r="A186" s="69" t="s">
        <v>17</v>
      </c>
      <c r="B186" s="71">
        <f>+C108</f>
        <v>0</v>
      </c>
      <c r="C186" s="71">
        <f>+B76</f>
        <v>0.3780487804878049</v>
      </c>
      <c r="D186" s="71">
        <f>+F62</f>
        <v>0.4</v>
      </c>
      <c r="E186" s="75">
        <f>+H62*C186</f>
        <v>59.700230279999985</v>
      </c>
      <c r="F186" s="70">
        <f>+F137</f>
        <v>0</v>
      </c>
      <c r="G186" s="75">
        <f>+I166*(1-D186)*C186</f>
        <v>59.70023028</v>
      </c>
      <c r="H186" s="75">
        <f>+E186-G186</f>
        <v>0</v>
      </c>
      <c r="I186" s="71">
        <f>H186/E186</f>
        <v>0</v>
      </c>
    </row>
    <row r="187" spans="1:9" ht="12.75" hidden="1">
      <c r="A187" s="69" t="s">
        <v>18</v>
      </c>
      <c r="B187" s="67"/>
      <c r="C187" s="75"/>
      <c r="D187" s="67"/>
      <c r="E187" s="75">
        <f>SUM(E184:E186)</f>
        <v>353.784690012</v>
      </c>
      <c r="F187" s="70"/>
      <c r="G187" s="75">
        <f>SUM(G184:G186)</f>
        <v>353.78469001200006</v>
      </c>
      <c r="H187" s="75">
        <f>SUM(H184:H186)</f>
        <v>0</v>
      </c>
      <c r="I187" s="71">
        <f>H187/E187</f>
        <v>0</v>
      </c>
    </row>
    <row r="188" spans="1:9" ht="12.75" hidden="1">
      <c r="A188" s="83"/>
      <c r="B188" s="92"/>
      <c r="C188" s="84"/>
      <c r="D188" s="92"/>
      <c r="E188" s="84"/>
      <c r="F188" s="85"/>
      <c r="G188" s="84"/>
      <c r="H188" s="84"/>
      <c r="I188" s="94"/>
    </row>
    <row r="189" spans="1:9" ht="12.75" hidden="1">
      <c r="A189" s="83" t="s">
        <v>206</v>
      </c>
      <c r="B189" s="92"/>
      <c r="C189" s="84"/>
      <c r="D189" s="92"/>
      <c r="E189" s="84"/>
      <c r="F189" s="85"/>
      <c r="G189" s="84"/>
      <c r="H189" s="84"/>
      <c r="I189" s="94"/>
    </row>
    <row r="190" spans="1:9" ht="12.75" hidden="1">
      <c r="A190" s="83"/>
      <c r="B190" s="92"/>
      <c r="C190" s="84"/>
      <c r="D190" s="92"/>
      <c r="E190" s="84"/>
      <c r="F190" s="85"/>
      <c r="G190" s="84"/>
      <c r="H190" s="84"/>
      <c r="I190" s="94"/>
    </row>
    <row r="191" spans="1:4" ht="12.75" hidden="1">
      <c r="A191" s="1" t="s">
        <v>123</v>
      </c>
      <c r="C191" s="66">
        <f>+C81</f>
        <v>0.98</v>
      </c>
      <c r="D191" s="4" t="s">
        <v>51</v>
      </c>
    </row>
    <row r="192" spans="1:9" ht="38.25" hidden="1">
      <c r="A192" s="72"/>
      <c r="B192" s="68" t="s">
        <v>112</v>
      </c>
      <c r="C192" s="68" t="s">
        <v>50</v>
      </c>
      <c r="D192" s="68" t="s">
        <v>152</v>
      </c>
      <c r="E192" s="68" t="s">
        <v>334</v>
      </c>
      <c r="F192" s="68" t="s">
        <v>126</v>
      </c>
      <c r="G192" s="68" t="s">
        <v>53</v>
      </c>
      <c r="H192" s="68" t="s">
        <v>154</v>
      </c>
      <c r="I192" s="68" t="s">
        <v>190</v>
      </c>
    </row>
    <row r="193" spans="1:9" ht="12.75" hidden="1">
      <c r="A193" s="69" t="s">
        <v>15</v>
      </c>
      <c r="B193" s="71">
        <f>+C106</f>
        <v>0</v>
      </c>
      <c r="C193" s="74">
        <f>+C83</f>
        <v>271.53817204800004</v>
      </c>
      <c r="D193" s="75">
        <f>+F83</f>
        <v>271.53817204800004</v>
      </c>
      <c r="E193" s="71">
        <f>+F106</f>
        <v>0</v>
      </c>
      <c r="F193" s="75">
        <f>+E126</f>
        <v>271.53817204800004</v>
      </c>
      <c r="G193" s="74">
        <f>E83*F193*(1-$C$191)+F193*(1-E83)</f>
        <v>271.53817204800004</v>
      </c>
      <c r="H193" s="75">
        <f>D193-G193</f>
        <v>0</v>
      </c>
      <c r="I193" s="70">
        <f>H193/D193</f>
        <v>0</v>
      </c>
    </row>
    <row r="194" spans="1:9" ht="12.75" hidden="1">
      <c r="A194" s="69" t="s">
        <v>16</v>
      </c>
      <c r="B194" s="71">
        <f>+C107</f>
        <v>0</v>
      </c>
      <c r="C194" s="74">
        <f>+C84</f>
        <v>22.54628768400001</v>
      </c>
      <c r="D194" s="75">
        <f>+F84</f>
        <v>22.54628768400001</v>
      </c>
      <c r="E194" s="71">
        <f>+F107</f>
        <v>0</v>
      </c>
      <c r="F194" s="75">
        <f>+E127</f>
        <v>22.54628768400001</v>
      </c>
      <c r="G194" s="74">
        <f>E84*F194*(1-$C$191)+F194*(1-E84)</f>
        <v>22.54628768400001</v>
      </c>
      <c r="H194" s="75">
        <f>D194-G194</f>
        <v>0</v>
      </c>
      <c r="I194" s="70">
        <f>H194/D194</f>
        <v>0</v>
      </c>
    </row>
    <row r="195" spans="1:9" ht="12.75" hidden="1">
      <c r="A195" s="69" t="s">
        <v>17</v>
      </c>
      <c r="B195" s="71">
        <f>+C108</f>
        <v>0</v>
      </c>
      <c r="C195" s="74">
        <f>+C85</f>
        <v>59.700230279999985</v>
      </c>
      <c r="D195" s="75">
        <f>+F85</f>
        <v>59.700230279999985</v>
      </c>
      <c r="E195" s="71">
        <f>+F108</f>
        <v>0</v>
      </c>
      <c r="F195" s="75">
        <f>+E128</f>
        <v>59.70023028</v>
      </c>
      <c r="G195" s="74">
        <f>E85*F195*(1-$C$191)+F195*(1-E85)</f>
        <v>59.70023028</v>
      </c>
      <c r="H195" s="75">
        <f>D195-G195</f>
        <v>0</v>
      </c>
      <c r="I195" s="70">
        <f>H195/D195</f>
        <v>0</v>
      </c>
    </row>
    <row r="196" spans="1:9" ht="12.75" hidden="1">
      <c r="A196" s="69" t="s">
        <v>18</v>
      </c>
      <c r="B196" s="67"/>
      <c r="C196" s="75">
        <f>(SUM(C193:C195))</f>
        <v>353.784690012</v>
      </c>
      <c r="D196" s="75">
        <f>(SUM(D193:D195))</f>
        <v>353.784690012</v>
      </c>
      <c r="E196" s="67"/>
      <c r="F196" s="75">
        <f>(SUM(F193:F195))</f>
        <v>353.78469001200006</v>
      </c>
      <c r="G196" s="75">
        <f>SUM(G193:G195)</f>
        <v>353.78469001200006</v>
      </c>
      <c r="H196" s="75">
        <f>(SUM(H193:H195))</f>
        <v>0</v>
      </c>
      <c r="I196" s="70">
        <f>H196/D196</f>
        <v>0</v>
      </c>
    </row>
    <row r="197" spans="1:9" ht="12.75" hidden="1">
      <c r="A197" s="83"/>
      <c r="B197" s="92"/>
      <c r="C197" s="84"/>
      <c r="D197" s="92"/>
      <c r="E197" s="84"/>
      <c r="F197" s="85"/>
      <c r="G197" s="84"/>
      <c r="H197" s="84"/>
      <c r="I197" s="94"/>
    </row>
    <row r="198" spans="1:9" ht="12.75" hidden="1">
      <c r="A198" s="83" t="s">
        <v>207</v>
      </c>
      <c r="B198" s="92"/>
      <c r="C198" s="84"/>
      <c r="D198" s="92"/>
      <c r="E198" s="84"/>
      <c r="F198" s="85"/>
      <c r="G198" s="84"/>
      <c r="H198" s="84"/>
      <c r="I198" s="94"/>
    </row>
    <row r="199" spans="1:9" ht="12.75" hidden="1">
      <c r="A199" s="83"/>
      <c r="B199" s="92"/>
      <c r="C199" s="84"/>
      <c r="D199" s="92"/>
      <c r="E199" s="84"/>
      <c r="F199" s="85"/>
      <c r="G199" s="84"/>
      <c r="H199" s="84"/>
      <c r="I199" s="94"/>
    </row>
    <row r="200" spans="1:4" ht="12.75" hidden="1">
      <c r="A200" s="1" t="s">
        <v>123</v>
      </c>
      <c r="C200" s="66">
        <f>+C81</f>
        <v>0.98</v>
      </c>
      <c r="D200" s="4" t="s">
        <v>51</v>
      </c>
    </row>
    <row r="201" spans="1:9" ht="65.25" customHeight="1" hidden="1">
      <c r="A201" s="72"/>
      <c r="B201" s="68" t="s">
        <v>112</v>
      </c>
      <c r="C201" s="68" t="s">
        <v>150</v>
      </c>
      <c r="D201" s="68" t="s">
        <v>156</v>
      </c>
      <c r="E201" s="68" t="s">
        <v>334</v>
      </c>
      <c r="F201" s="68" t="s">
        <v>177</v>
      </c>
      <c r="G201" s="68" t="s">
        <v>93</v>
      </c>
      <c r="H201" s="68" t="s">
        <v>154</v>
      </c>
      <c r="I201" s="68" t="s">
        <v>190</v>
      </c>
    </row>
    <row r="202" spans="1:9" ht="12.75" hidden="1">
      <c r="A202" s="69" t="s">
        <v>15</v>
      </c>
      <c r="B202" s="71">
        <f>+C106</f>
        <v>0</v>
      </c>
      <c r="C202" s="74">
        <f>+C90</f>
        <v>271.53817204800004</v>
      </c>
      <c r="D202" s="75">
        <f>+F90</f>
        <v>271.53817204800004</v>
      </c>
      <c r="E202" s="71">
        <f>+F106</f>
        <v>0</v>
      </c>
      <c r="F202" s="75">
        <f>+G155</f>
        <v>271.53817204800004</v>
      </c>
      <c r="G202" s="74">
        <f>E83*F202*(1-$C$200)+F202*(1-E83)</f>
        <v>271.53817204800004</v>
      </c>
      <c r="H202" s="75">
        <f>D202-G202</f>
        <v>0</v>
      </c>
      <c r="I202" s="70">
        <f>H202/D202</f>
        <v>0</v>
      </c>
    </row>
    <row r="203" spans="1:9" ht="12.75" hidden="1">
      <c r="A203" s="69" t="s">
        <v>16</v>
      </c>
      <c r="B203" s="71">
        <f>+C107</f>
        <v>0</v>
      </c>
      <c r="C203" s="74">
        <f>+C91</f>
        <v>22.54628768400001</v>
      </c>
      <c r="D203" s="75">
        <f>+F91</f>
        <v>22.54628768400001</v>
      </c>
      <c r="E203" s="71">
        <f>+F107</f>
        <v>0</v>
      </c>
      <c r="F203" s="75">
        <f>+G156</f>
        <v>22.54628768400001</v>
      </c>
      <c r="G203" s="74">
        <f>E84*F203*(1-$C$200)+F203*(1-E84)</f>
        <v>22.54628768400001</v>
      </c>
      <c r="H203" s="75">
        <f>D203-G203</f>
        <v>0</v>
      </c>
      <c r="I203" s="70">
        <f>H203/D203</f>
        <v>0</v>
      </c>
    </row>
    <row r="204" spans="1:9" ht="12.75" hidden="1">
      <c r="A204" s="69" t="s">
        <v>17</v>
      </c>
      <c r="B204" s="71">
        <f>+C108</f>
        <v>0</v>
      </c>
      <c r="C204" s="74">
        <f>+C92</f>
        <v>59.700230279999985</v>
      </c>
      <c r="D204" s="75">
        <f>+F92</f>
        <v>59.700230279999985</v>
      </c>
      <c r="E204" s="71">
        <f>+F108</f>
        <v>0</v>
      </c>
      <c r="F204" s="75">
        <f>+G157</f>
        <v>59.70023028</v>
      </c>
      <c r="G204" s="74">
        <f>E85*F204*(1-$C$200)+F204*(1-E85)</f>
        <v>59.70023028</v>
      </c>
      <c r="H204" s="75">
        <f>D204-G204</f>
        <v>0</v>
      </c>
      <c r="I204" s="70">
        <f>H204/D204</f>
        <v>0</v>
      </c>
    </row>
    <row r="205" spans="1:9" ht="12.75" hidden="1">
      <c r="A205" s="69" t="s">
        <v>18</v>
      </c>
      <c r="B205" s="67"/>
      <c r="C205" s="75">
        <f>(SUM(C202:C204))</f>
        <v>353.784690012</v>
      </c>
      <c r="D205" s="75">
        <f>(SUM(D202:D204))</f>
        <v>353.784690012</v>
      </c>
      <c r="E205" s="67"/>
      <c r="F205" s="75">
        <f>(SUM(F202:F204))</f>
        <v>353.78469001200006</v>
      </c>
      <c r="G205" s="75">
        <f>SUM(G202:G204)</f>
        <v>353.78469001200006</v>
      </c>
      <c r="H205" s="75">
        <f>(SUM(H202:H204))</f>
        <v>0</v>
      </c>
      <c r="I205" s="70">
        <f>H205/D205</f>
        <v>0</v>
      </c>
    </row>
    <row r="206" spans="1:9" ht="12.75" hidden="1">
      <c r="A206" s="83"/>
      <c r="B206" s="92"/>
      <c r="C206" s="84"/>
      <c r="D206" s="84"/>
      <c r="E206" s="92"/>
      <c r="F206" s="84"/>
      <c r="G206" s="84"/>
      <c r="H206" s="84"/>
      <c r="I206" s="85"/>
    </row>
    <row r="207" spans="1:9" ht="12.75" hidden="1">
      <c r="A207" s="83" t="s">
        <v>208</v>
      </c>
      <c r="B207" s="92"/>
      <c r="C207" s="84"/>
      <c r="D207" s="92"/>
      <c r="E207" s="84"/>
      <c r="F207" s="85"/>
      <c r="G207" s="84"/>
      <c r="H207" s="84"/>
      <c r="I207" s="94"/>
    </row>
    <row r="208" spans="1:9" ht="12.75" hidden="1">
      <c r="A208" s="83"/>
      <c r="B208" s="92"/>
      <c r="C208" s="84"/>
      <c r="D208" s="92"/>
      <c r="E208" s="84"/>
      <c r="F208" s="85"/>
      <c r="G208" s="84"/>
      <c r="H208" s="84"/>
      <c r="I208" s="94"/>
    </row>
    <row r="209" spans="1:4" ht="12.75" hidden="1">
      <c r="A209" s="1" t="s">
        <v>123</v>
      </c>
      <c r="C209" s="66">
        <f>+C81</f>
        <v>0.98</v>
      </c>
      <c r="D209" s="4" t="s">
        <v>51</v>
      </c>
    </row>
    <row r="210" spans="1:9" ht="38.25" hidden="1">
      <c r="A210" s="72"/>
      <c r="B210" s="68" t="s">
        <v>112</v>
      </c>
      <c r="C210" s="68" t="s">
        <v>159</v>
      </c>
      <c r="D210" s="68" t="s">
        <v>160</v>
      </c>
      <c r="E210" s="68" t="s">
        <v>334</v>
      </c>
      <c r="F210" s="68" t="s">
        <v>126</v>
      </c>
      <c r="G210" s="68" t="s">
        <v>53</v>
      </c>
      <c r="H210" s="68" t="s">
        <v>154</v>
      </c>
      <c r="I210" s="68" t="s">
        <v>190</v>
      </c>
    </row>
    <row r="211" spans="1:9" ht="12.75" hidden="1">
      <c r="A211" s="69" t="s">
        <v>15</v>
      </c>
      <c r="B211" s="71">
        <f>+C106</f>
        <v>0</v>
      </c>
      <c r="C211" s="74">
        <f>+D74</f>
        <v>271.53817204800004</v>
      </c>
      <c r="D211" s="75">
        <f>+F97</f>
        <v>271.53817204800004</v>
      </c>
      <c r="E211" s="71">
        <f>+F106</f>
        <v>0</v>
      </c>
      <c r="F211" s="75">
        <f>+G184</f>
        <v>271.53817204800004</v>
      </c>
      <c r="G211" s="74">
        <f>+E83*F211*(1-$C$209)+F211*(1-E83)</f>
        <v>271.53817204800004</v>
      </c>
      <c r="H211" s="75">
        <f>D211-G211</f>
        <v>0</v>
      </c>
      <c r="I211" s="70">
        <f>H211/D211</f>
        <v>0</v>
      </c>
    </row>
    <row r="212" spans="1:9" ht="12.75" hidden="1">
      <c r="A212" s="69" t="s">
        <v>16</v>
      </c>
      <c r="B212" s="71">
        <f>+C107</f>
        <v>0</v>
      </c>
      <c r="C212" s="74">
        <f>+D75</f>
        <v>22.54628768400001</v>
      </c>
      <c r="D212" s="75">
        <f>+F98</f>
        <v>22.54628768400001</v>
      </c>
      <c r="E212" s="71">
        <f>+F107</f>
        <v>0</v>
      </c>
      <c r="F212" s="75">
        <f>+G185</f>
        <v>22.54628768400001</v>
      </c>
      <c r="G212" s="74">
        <f>+E84*F212*(1-$C$209)+F212*(1-E84)</f>
        <v>22.54628768400001</v>
      </c>
      <c r="H212" s="75">
        <f>D212-G212</f>
        <v>0</v>
      </c>
      <c r="I212" s="70">
        <f>H212/D212</f>
        <v>0</v>
      </c>
    </row>
    <row r="213" spans="1:9" ht="12.75" hidden="1">
      <c r="A213" s="69" t="s">
        <v>17</v>
      </c>
      <c r="B213" s="71">
        <f>+C108</f>
        <v>0</v>
      </c>
      <c r="C213" s="74">
        <f>+D76</f>
        <v>59.700230279999985</v>
      </c>
      <c r="D213" s="75">
        <f>+F99</f>
        <v>59.700230279999985</v>
      </c>
      <c r="E213" s="71">
        <f>+F108</f>
        <v>0</v>
      </c>
      <c r="F213" s="75">
        <f>+G186</f>
        <v>59.70023028</v>
      </c>
      <c r="G213" s="74">
        <f>+E85*F213*(1-$C$209)+F213*(1-E85)</f>
        <v>59.70023028</v>
      </c>
      <c r="H213" s="75">
        <f>D213-G213</f>
        <v>0</v>
      </c>
      <c r="I213" s="70">
        <f>H213/D213</f>
        <v>0</v>
      </c>
    </row>
    <row r="214" spans="1:9" ht="12.75" hidden="1">
      <c r="A214" s="69" t="s">
        <v>18</v>
      </c>
      <c r="B214" s="67"/>
      <c r="C214" s="75">
        <f>(SUM(C211:C213))</f>
        <v>353.784690012</v>
      </c>
      <c r="D214" s="75">
        <f>(SUM(D211:D213))</f>
        <v>353.784690012</v>
      </c>
      <c r="E214" s="67"/>
      <c r="F214" s="75">
        <f>(SUM(F211:F213))</f>
        <v>353.78469001200006</v>
      </c>
      <c r="G214" s="75">
        <f>SUM(G211:G213)</f>
        <v>353.78469001200006</v>
      </c>
      <c r="H214" s="75">
        <f>(SUM(H211:H213))</f>
        <v>0</v>
      </c>
      <c r="I214" s="70">
        <f>H214/D214</f>
        <v>0</v>
      </c>
    </row>
    <row r="215" spans="1:9" ht="12.75" hidden="1">
      <c r="A215" s="83"/>
      <c r="B215" s="92"/>
      <c r="C215" s="84"/>
      <c r="D215" s="84"/>
      <c r="E215" s="92"/>
      <c r="F215" s="84"/>
      <c r="G215" s="84"/>
      <c r="H215" s="84"/>
      <c r="I215" s="85"/>
    </row>
    <row r="216" spans="1:13" ht="12.75" hidden="1">
      <c r="A216" s="6" t="s">
        <v>267</v>
      </c>
      <c r="M216" s="66"/>
    </row>
    <row r="217" spans="1:13" ht="12.75" hidden="1">
      <c r="A217" s="6"/>
      <c r="M217" s="64"/>
    </row>
    <row r="218" spans="1:13" ht="12.75" hidden="1">
      <c r="A218" s="1" t="s">
        <v>278</v>
      </c>
      <c r="M218" s="66"/>
    </row>
    <row r="219" spans="1:13" ht="40.5" customHeight="1" hidden="1">
      <c r="A219" s="67"/>
      <c r="B219" s="68" t="s">
        <v>375</v>
      </c>
      <c r="C219" s="68" t="s">
        <v>377</v>
      </c>
      <c r="D219" s="68" t="s">
        <v>190</v>
      </c>
      <c r="E219" s="68" t="s">
        <v>279</v>
      </c>
      <c r="F219" s="131"/>
      <c r="G219" s="131"/>
      <c r="H219" s="131"/>
      <c r="I219" s="131"/>
      <c r="J219" s="131"/>
      <c r="K219" s="131"/>
      <c r="L219" s="65"/>
      <c r="M219" s="64"/>
    </row>
    <row r="220" spans="1:13" ht="12.75" hidden="1">
      <c r="A220" s="69" t="s">
        <v>268</v>
      </c>
      <c r="B220" s="75">
        <f>+InputResults!D100*50</f>
        <v>0</v>
      </c>
      <c r="C220" s="74">
        <f>+B220*G22</f>
        <v>0</v>
      </c>
      <c r="D220" s="70">
        <f>IF(AND(InputResults!D114="Manual",InputResults!E114="Automatic"),Calculations!C25,0)</f>
        <v>0</v>
      </c>
      <c r="E220" s="75">
        <f>C220*(1-D220)</f>
        <v>0</v>
      </c>
      <c r="F220" s="85"/>
      <c r="G220" s="84"/>
      <c r="H220" s="84"/>
      <c r="I220" s="84"/>
      <c r="J220" s="84"/>
      <c r="K220" s="85"/>
      <c r="L220" s="64"/>
      <c r="M220" s="66"/>
    </row>
    <row r="221" spans="1:13" ht="12.75" hidden="1">
      <c r="A221" s="69"/>
      <c r="B221" s="75"/>
      <c r="C221" s="74"/>
      <c r="D221" s="75"/>
      <c r="E221" s="75"/>
      <c r="F221" s="85"/>
      <c r="G221" s="84"/>
      <c r="H221" s="84"/>
      <c r="I221" s="84"/>
      <c r="J221" s="84"/>
      <c r="K221" s="85"/>
      <c r="L221" s="64"/>
      <c r="M221" s="64"/>
    </row>
    <row r="222" spans="1:16" ht="12.75" hidden="1">
      <c r="A222" s="69"/>
      <c r="B222" s="75"/>
      <c r="C222" s="70"/>
      <c r="D222" s="75"/>
      <c r="E222" s="75"/>
      <c r="F222" s="85"/>
      <c r="G222" s="84"/>
      <c r="H222" s="84"/>
      <c r="I222" s="84"/>
      <c r="J222" s="84"/>
      <c r="K222" s="85"/>
      <c r="L222" s="64"/>
      <c r="M222" s="64"/>
      <c r="P222" s="6"/>
    </row>
    <row r="223" spans="1:13" ht="12.75" hidden="1">
      <c r="A223" s="69" t="s">
        <v>18</v>
      </c>
      <c r="B223" s="75">
        <f>SUM(B220:B222)</f>
        <v>0</v>
      </c>
      <c r="C223" s="75">
        <f>SUM(C220:C222)</f>
        <v>0</v>
      </c>
      <c r="D223" s="75"/>
      <c r="E223" s="75">
        <f>SUM(E220:E222)</f>
        <v>0</v>
      </c>
      <c r="F223" s="92"/>
      <c r="G223" s="84"/>
      <c r="H223" s="84"/>
      <c r="I223" s="84"/>
      <c r="J223" s="84"/>
      <c r="K223" s="85"/>
      <c r="L223" s="64"/>
      <c r="M223" s="64"/>
    </row>
    <row r="224" spans="1:13" ht="12.75" hidden="1">
      <c r="A224" s="1"/>
      <c r="M224" s="66"/>
    </row>
    <row r="225" spans="1:13" ht="12.75" hidden="1">
      <c r="A225" s="1" t="s">
        <v>289</v>
      </c>
      <c r="M225" s="64"/>
    </row>
    <row r="226" spans="1:14" ht="38.25" hidden="1">
      <c r="A226" s="67"/>
      <c r="B226" s="68" t="s">
        <v>374</v>
      </c>
      <c r="C226" s="68" t="s">
        <v>283</v>
      </c>
      <c r="D226" s="87" t="s">
        <v>284</v>
      </c>
      <c r="E226" s="68" t="s">
        <v>285</v>
      </c>
      <c r="F226" s="87" t="s">
        <v>286</v>
      </c>
      <c r="G226" s="68" t="s">
        <v>287</v>
      </c>
      <c r="H226" s="68" t="s">
        <v>288</v>
      </c>
      <c r="N226" s="64"/>
    </row>
    <row r="227" spans="1:17" ht="12.75" hidden="1">
      <c r="A227" s="69" t="s">
        <v>280</v>
      </c>
      <c r="B227" s="70">
        <f>G23/G22</f>
        <v>1</v>
      </c>
      <c r="C227" s="75">
        <f>C220*B227</f>
        <v>0</v>
      </c>
      <c r="D227" s="75">
        <f>IF(InputResults!$D$114="Manual",Calculations!$C$22,(1-Calculations!$C$26)*Calculations!$C$22)*C227</f>
        <v>0</v>
      </c>
      <c r="E227" s="75">
        <f>E220*B227</f>
        <v>0</v>
      </c>
      <c r="F227" s="75">
        <f>IF(InputResults!$E$114="Manual",Calculations!$C$22,(1-Calculations!$C$26)*Calculations!$C$22)*E227</f>
        <v>0</v>
      </c>
      <c r="G227" s="75">
        <f>D227-F227</f>
        <v>0</v>
      </c>
      <c r="H227" s="70">
        <f>IF(B220&gt;0,G227/D227,0)</f>
        <v>0</v>
      </c>
      <c r="N227" s="64"/>
      <c r="Q227" s="6"/>
    </row>
    <row r="228" spans="1:8" ht="12.75" hidden="1">
      <c r="A228" s="69"/>
      <c r="B228" s="70"/>
      <c r="C228" s="75"/>
      <c r="D228" s="75"/>
      <c r="E228" s="75"/>
      <c r="F228" s="75"/>
      <c r="G228" s="75"/>
      <c r="H228" s="70"/>
    </row>
    <row r="229" spans="1:14" ht="12.75" hidden="1">
      <c r="A229" s="69"/>
      <c r="B229" s="70"/>
      <c r="C229" s="75"/>
      <c r="D229" s="75"/>
      <c r="E229" s="75"/>
      <c r="F229" s="75"/>
      <c r="G229" s="75"/>
      <c r="H229" s="70"/>
      <c r="N229" s="6"/>
    </row>
    <row r="230" spans="1:8" ht="12.75" hidden="1">
      <c r="A230" s="69" t="s">
        <v>18</v>
      </c>
      <c r="B230" s="67"/>
      <c r="C230" s="75">
        <f>SUM(C227:C229)</f>
        <v>0</v>
      </c>
      <c r="D230" s="75">
        <f>SUM(D227:D229)</f>
        <v>0</v>
      </c>
      <c r="E230" s="75">
        <f>SUM(E227:E229)</f>
        <v>0</v>
      </c>
      <c r="F230" s="75">
        <f>SUM(F227:F229)</f>
        <v>0</v>
      </c>
      <c r="G230" s="75">
        <f>SUM(G227:G229)</f>
        <v>0</v>
      </c>
      <c r="H230" s="70">
        <f>IF(B223&gt;0,G230/D230,0)</f>
        <v>0</v>
      </c>
    </row>
    <row r="231" ht="12.75" hidden="1"/>
    <row r="232" ht="12.75" hidden="1">
      <c r="A232" s="1" t="s">
        <v>293</v>
      </c>
    </row>
    <row r="233" ht="12.75" hidden="1">
      <c r="A233" s="6"/>
    </row>
    <row r="234" ht="12.75" hidden="1">
      <c r="A234" s="10" t="s">
        <v>292</v>
      </c>
    </row>
    <row r="235" spans="1:8" ht="38.25" hidden="1">
      <c r="A235" s="67"/>
      <c r="B235" s="68" t="s">
        <v>375</v>
      </c>
      <c r="C235" s="68" t="s">
        <v>377</v>
      </c>
      <c r="D235" s="68" t="s">
        <v>190</v>
      </c>
      <c r="E235" s="68" t="s">
        <v>279</v>
      </c>
      <c r="F235" s="131"/>
      <c r="G235" s="131"/>
      <c r="H235" s="131"/>
    </row>
    <row r="236" spans="1:8" ht="12.75" hidden="1">
      <c r="A236" s="69" t="s">
        <v>268</v>
      </c>
      <c r="B236" s="75">
        <f>C236/G22</f>
        <v>0</v>
      </c>
      <c r="C236" s="74">
        <f>+E220</f>
        <v>0</v>
      </c>
      <c r="D236" s="70">
        <f>IF(AND(InputResults!D119="no",InputResults!E119="yes"),Calculations!C29,0)</f>
        <v>0</v>
      </c>
      <c r="E236" s="75">
        <f>C236*(1-D236)</f>
        <v>0</v>
      </c>
      <c r="F236" s="85"/>
      <c r="G236" s="84"/>
      <c r="H236" s="84"/>
    </row>
    <row r="237" spans="1:8" ht="12.75" hidden="1">
      <c r="A237" s="69"/>
      <c r="B237" s="75"/>
      <c r="C237" s="74"/>
      <c r="D237" s="75"/>
      <c r="E237" s="75"/>
      <c r="F237" s="85"/>
      <c r="G237" s="84"/>
      <c r="H237" s="84"/>
    </row>
    <row r="238" spans="1:8" ht="12.75" hidden="1">
      <c r="A238" s="69"/>
      <c r="B238" s="75"/>
      <c r="C238" s="70"/>
      <c r="D238" s="75"/>
      <c r="E238" s="75"/>
      <c r="F238" s="85"/>
      <c r="G238" s="84"/>
      <c r="H238" s="84"/>
    </row>
    <row r="239" spans="1:8" ht="12.75" hidden="1">
      <c r="A239" s="69" t="s">
        <v>18</v>
      </c>
      <c r="B239" s="75">
        <f>SUM(B236:B238)</f>
        <v>0</v>
      </c>
      <c r="C239" s="75">
        <f>SUM(C236:C238)</f>
        <v>0</v>
      </c>
      <c r="D239" s="75"/>
      <c r="E239" s="75">
        <f>SUM(E236:E238)</f>
        <v>0</v>
      </c>
      <c r="F239" s="92"/>
      <c r="G239" s="84"/>
      <c r="H239" s="84"/>
    </row>
    <row r="240" ht="12.75" hidden="1">
      <c r="A240" s="1"/>
    </row>
    <row r="241" ht="12.75" hidden="1">
      <c r="A241" s="10" t="s">
        <v>297</v>
      </c>
    </row>
    <row r="242" spans="1:8" ht="38.25" hidden="1">
      <c r="A242" s="67"/>
      <c r="B242" s="68" t="s">
        <v>374</v>
      </c>
      <c r="C242" s="68" t="s">
        <v>283</v>
      </c>
      <c r="D242" s="87" t="s">
        <v>284</v>
      </c>
      <c r="E242" s="68" t="s">
        <v>285</v>
      </c>
      <c r="F242" s="87" t="s">
        <v>286</v>
      </c>
      <c r="G242" s="68" t="s">
        <v>287</v>
      </c>
      <c r="H242" s="68" t="s">
        <v>288</v>
      </c>
    </row>
    <row r="243" spans="1:8" ht="12.75" hidden="1">
      <c r="A243" s="69" t="s">
        <v>280</v>
      </c>
      <c r="B243" s="70">
        <f>B227</f>
        <v>1</v>
      </c>
      <c r="C243" s="75">
        <f>C236*B243</f>
        <v>0</v>
      </c>
      <c r="D243" s="75">
        <f>F227</f>
        <v>0</v>
      </c>
      <c r="E243" s="75">
        <f>E236*B243</f>
        <v>0</v>
      </c>
      <c r="F243" s="75">
        <f>IF(InputResults!$E$114="Manual",Calculations!$C$22,(1-Calculations!$C$26)*Calculations!$C$22)*E243</f>
        <v>0</v>
      </c>
      <c r="G243" s="75">
        <f>D243-F243</f>
        <v>0</v>
      </c>
      <c r="H243" s="70">
        <f>IF(B236&gt;0,G243/D243,0)</f>
        <v>0</v>
      </c>
    </row>
    <row r="244" spans="1:8" ht="12.75" hidden="1">
      <c r="A244" s="69"/>
      <c r="B244" s="70"/>
      <c r="C244" s="75"/>
      <c r="D244" s="75"/>
      <c r="E244" s="75"/>
      <c r="F244" s="75"/>
      <c r="G244" s="75"/>
      <c r="H244" s="70"/>
    </row>
    <row r="245" spans="1:11" ht="42" customHeight="1" hidden="1">
      <c r="A245" s="69"/>
      <c r="B245" s="70"/>
      <c r="C245" s="75"/>
      <c r="D245" s="75"/>
      <c r="E245" s="75"/>
      <c r="F245" s="75"/>
      <c r="G245" s="75"/>
      <c r="H245" s="70"/>
      <c r="I245" s="35"/>
      <c r="J245" s="35"/>
      <c r="K245" s="35"/>
    </row>
    <row r="246" spans="1:11" ht="29.25" customHeight="1" hidden="1">
      <c r="A246" s="69" t="s">
        <v>18</v>
      </c>
      <c r="B246" s="67"/>
      <c r="C246" s="75">
        <f>SUM(C243:C245)</f>
        <v>0</v>
      </c>
      <c r="D246" s="75">
        <f>SUM(D243:D245)</f>
        <v>0</v>
      </c>
      <c r="E246" s="75">
        <f>SUM(E243:E245)</f>
        <v>0</v>
      </c>
      <c r="F246" s="75">
        <f>SUM(F243:F245)</f>
        <v>0</v>
      </c>
      <c r="G246" s="75">
        <f>SUM(G243:G245)</f>
        <v>0</v>
      </c>
      <c r="H246" s="70">
        <f>IF(B239&gt;0,G246/D246,0)</f>
        <v>0</v>
      </c>
      <c r="I246" s="35"/>
      <c r="J246" s="35"/>
      <c r="K246" s="35"/>
    </row>
    <row r="247" spans="1:11" ht="12.75" hidden="1">
      <c r="A247" s="83"/>
      <c r="B247" s="92"/>
      <c r="C247" s="84"/>
      <c r="D247" s="84"/>
      <c r="E247" s="84"/>
      <c r="F247" s="84"/>
      <c r="G247" s="84"/>
      <c r="H247" s="85"/>
      <c r="I247" s="35"/>
      <c r="J247" s="35"/>
      <c r="K247" s="35"/>
    </row>
    <row r="248" ht="12.75" hidden="1">
      <c r="A248" s="6" t="s">
        <v>363</v>
      </c>
    </row>
    <row r="249" ht="12.75" hidden="1">
      <c r="A249" s="6"/>
    </row>
    <row r="250" ht="12.75" hidden="1">
      <c r="A250" s="1" t="s">
        <v>361</v>
      </c>
    </row>
    <row r="251" spans="1:11" ht="51" hidden="1">
      <c r="A251" s="67"/>
      <c r="B251" s="68" t="s">
        <v>375</v>
      </c>
      <c r="C251" s="68" t="s">
        <v>347</v>
      </c>
      <c r="D251" s="68" t="s">
        <v>348</v>
      </c>
      <c r="E251" s="68" t="s">
        <v>346</v>
      </c>
      <c r="F251" s="68" t="s">
        <v>304</v>
      </c>
      <c r="G251" s="68" t="s">
        <v>303</v>
      </c>
      <c r="H251" s="68" t="s">
        <v>305</v>
      </c>
      <c r="I251" s="68" t="s">
        <v>306</v>
      </c>
      <c r="K251" s="131"/>
    </row>
    <row r="252" spans="1:11" ht="12.75" hidden="1">
      <c r="A252" s="69" t="s">
        <v>268</v>
      </c>
      <c r="B252" s="75">
        <f>InputResults!D100*50</f>
        <v>0</v>
      </c>
      <c r="C252" s="70">
        <f>InputResults!D137</f>
        <v>0</v>
      </c>
      <c r="D252" s="74">
        <f>+B252*(1-C252)*InputResults!D104</f>
        <v>0</v>
      </c>
      <c r="E252" s="70">
        <f>InputResults!E137</f>
        <v>0</v>
      </c>
      <c r="F252" s="74">
        <f>B252*E252*InputResults!D127</f>
        <v>0</v>
      </c>
      <c r="G252" s="75">
        <f>+B252*(1-E252)*InputResults!D104</f>
        <v>0</v>
      </c>
      <c r="H252" s="75">
        <f>D252-G252</f>
        <v>0</v>
      </c>
      <c r="I252" s="70">
        <f>IF(B252&gt;0,H252/D252,0)</f>
        <v>0</v>
      </c>
      <c r="K252" s="84"/>
    </row>
    <row r="253" spans="1:11" ht="12.75" hidden="1">
      <c r="A253" s="69"/>
      <c r="B253" s="75"/>
      <c r="C253" s="74"/>
      <c r="D253" s="74"/>
      <c r="E253" s="74"/>
      <c r="F253" s="75"/>
      <c r="G253" s="75"/>
      <c r="H253" s="75"/>
      <c r="I253" s="70"/>
      <c r="K253" s="84"/>
    </row>
    <row r="254" spans="1:11" ht="12.75" hidden="1">
      <c r="A254" s="69"/>
      <c r="B254" s="75"/>
      <c r="C254" s="70"/>
      <c r="D254" s="70"/>
      <c r="E254" s="70"/>
      <c r="F254" s="75"/>
      <c r="G254" s="75"/>
      <c r="H254" s="75"/>
      <c r="I254" s="70"/>
      <c r="K254" s="84"/>
    </row>
    <row r="255" spans="1:11" ht="12.75" hidden="1">
      <c r="A255" s="69" t="s">
        <v>18</v>
      </c>
      <c r="B255" s="75">
        <f>SUM(B252:B254)</f>
        <v>0</v>
      </c>
      <c r="C255" s="75"/>
      <c r="D255" s="75">
        <f>SUM(D252:D254)</f>
        <v>0</v>
      </c>
      <c r="E255" s="75"/>
      <c r="F255" s="75">
        <f>SUM(F252:F254)</f>
        <v>0</v>
      </c>
      <c r="G255" s="75">
        <f>SUM(G252:G254)</f>
        <v>0</v>
      </c>
      <c r="H255" s="75">
        <f>SUM(H252:H254)</f>
        <v>0</v>
      </c>
      <c r="I255" s="70">
        <f>IF(B255&gt;0,H255/D255,0)</f>
        <v>0</v>
      </c>
      <c r="K255" s="84"/>
    </row>
    <row r="256" ht="12.75" hidden="1">
      <c r="A256" s="1"/>
    </row>
    <row r="257" ht="12.75" hidden="1">
      <c r="A257" s="1" t="s">
        <v>362</v>
      </c>
    </row>
    <row r="258" spans="1:10" ht="64.5" customHeight="1" hidden="1">
      <c r="A258" s="67"/>
      <c r="B258" s="68" t="s">
        <v>374</v>
      </c>
      <c r="C258" s="68" t="s">
        <v>283</v>
      </c>
      <c r="D258" s="87" t="s">
        <v>364</v>
      </c>
      <c r="E258" s="87" t="s">
        <v>365</v>
      </c>
      <c r="F258" s="87" t="s">
        <v>307</v>
      </c>
      <c r="G258" s="68" t="s">
        <v>285</v>
      </c>
      <c r="H258" s="87" t="s">
        <v>366</v>
      </c>
      <c r="I258" s="68" t="s">
        <v>287</v>
      </c>
      <c r="J258" s="68" t="s">
        <v>288</v>
      </c>
    </row>
    <row r="259" spans="1:10" ht="12.75" hidden="1">
      <c r="A259" s="69" t="s">
        <v>280</v>
      </c>
      <c r="B259" s="70">
        <f>B227</f>
        <v>1</v>
      </c>
      <c r="C259" s="75">
        <f>C227</f>
        <v>0</v>
      </c>
      <c r="D259" s="75">
        <f>IF(InputResults!$D$114="Manual",Calculations!$C$22,(1-Calculations!$C$26)*Calculations!$C$22)*C259</f>
        <v>0</v>
      </c>
      <c r="E259" s="70">
        <f>+InputResults!D108/InputResults!D104</f>
        <v>1</v>
      </c>
      <c r="F259" s="70">
        <f>InputResults!D131/InputResults!D127</f>
        <v>0.01</v>
      </c>
      <c r="G259" s="75">
        <f>(G252*E259)+(F252*F259)</f>
        <v>0</v>
      </c>
      <c r="H259" s="75">
        <f>IF(InputResults!$D$114="Manual",Calculations!$C$22,(1-Calculations!$C$26)*Calculations!$C$22)*G259</f>
        <v>0</v>
      </c>
      <c r="I259" s="75">
        <f>D259-H259</f>
        <v>0</v>
      </c>
      <c r="J259" s="70">
        <f>IF(B252&gt;0,I259/D259,0)</f>
        <v>0</v>
      </c>
    </row>
    <row r="260" spans="1:10" ht="12.75" hidden="1">
      <c r="A260" s="69"/>
      <c r="B260" s="70"/>
      <c r="C260" s="75"/>
      <c r="D260" s="75"/>
      <c r="E260" s="75"/>
      <c r="F260" s="75"/>
      <c r="G260" s="75"/>
      <c r="H260" s="75"/>
      <c r="I260" s="75"/>
      <c r="J260" s="70"/>
    </row>
    <row r="261" spans="1:10" ht="12.75" hidden="1">
      <c r="A261" s="69"/>
      <c r="B261" s="70"/>
      <c r="C261" s="75"/>
      <c r="D261" s="75"/>
      <c r="E261" s="75"/>
      <c r="F261" s="75"/>
      <c r="G261" s="75"/>
      <c r="H261" s="75"/>
      <c r="I261" s="75"/>
      <c r="J261" s="70"/>
    </row>
    <row r="262" spans="1:10" ht="12.75" hidden="1">
      <c r="A262" s="69" t="s">
        <v>18</v>
      </c>
      <c r="B262" s="67"/>
      <c r="C262" s="75">
        <f>SUM(C259:C261)</f>
        <v>0</v>
      </c>
      <c r="D262" s="75">
        <f>SUM(D259:D261)</f>
        <v>0</v>
      </c>
      <c r="E262" s="75"/>
      <c r="F262" s="75"/>
      <c r="G262" s="75">
        <f>SUM(G259:G261)</f>
        <v>0</v>
      </c>
      <c r="H262" s="75">
        <f>SUM(H259:H261)</f>
        <v>0</v>
      </c>
      <c r="I262" s="75">
        <f>SUM(I259:I261)</f>
        <v>0</v>
      </c>
      <c r="J262" s="70">
        <f>IF(B255&gt;0,I262/D262,0)</f>
        <v>0</v>
      </c>
    </row>
    <row r="263" ht="12.75" hidden="1">
      <c r="A263" s="6"/>
    </row>
    <row r="264" ht="12.75" hidden="1">
      <c r="A264" s="1" t="s">
        <v>367</v>
      </c>
    </row>
    <row r="265" spans="1:11" ht="51" hidden="1">
      <c r="A265" s="67"/>
      <c r="B265" s="68" t="s">
        <v>375</v>
      </c>
      <c r="C265" s="68" t="s">
        <v>347</v>
      </c>
      <c r="D265" s="68" t="s">
        <v>348</v>
      </c>
      <c r="E265" s="68" t="s">
        <v>346</v>
      </c>
      <c r="F265" s="68" t="s">
        <v>302</v>
      </c>
      <c r="G265" s="68" t="s">
        <v>304</v>
      </c>
      <c r="H265" s="68" t="s">
        <v>303</v>
      </c>
      <c r="I265" s="68" t="s">
        <v>305</v>
      </c>
      <c r="J265" s="68" t="s">
        <v>306</v>
      </c>
      <c r="K265" s="131"/>
    </row>
    <row r="266" spans="1:11" ht="12.75" hidden="1">
      <c r="A266" s="69" t="s">
        <v>268</v>
      </c>
      <c r="B266" s="75">
        <f>InputResults!D100*50</f>
        <v>0</v>
      </c>
      <c r="C266" s="70">
        <f>InputResults!D137</f>
        <v>0</v>
      </c>
      <c r="D266" s="74">
        <f>+B266*(1-C266)*InputResults!D104</f>
        <v>0</v>
      </c>
      <c r="E266" s="70">
        <f>InputResults!E137</f>
        <v>0</v>
      </c>
      <c r="F266" s="70">
        <f>IF(AND(InputResults!D114="Manual",InputResults!E114="Automatic"),Calculations!C25,0)</f>
        <v>0</v>
      </c>
      <c r="G266" s="74">
        <f>(B266*(1-F266))*E266*InputResults!D127</f>
        <v>0</v>
      </c>
      <c r="H266" s="75">
        <f>+(B266*(1-F266))*(1-E266)*InputResults!D104</f>
        <v>0</v>
      </c>
      <c r="I266" s="75">
        <f>D266-H266</f>
        <v>0</v>
      </c>
      <c r="J266" s="70">
        <f>IF(B266&gt;0,I266/D266,0)</f>
        <v>0</v>
      </c>
      <c r="K266" s="84"/>
    </row>
    <row r="267" spans="1:11" ht="12.75" hidden="1">
      <c r="A267" s="69"/>
      <c r="B267" s="75"/>
      <c r="C267" s="74"/>
      <c r="D267" s="74"/>
      <c r="E267" s="74"/>
      <c r="F267" s="75"/>
      <c r="G267" s="75"/>
      <c r="H267" s="75"/>
      <c r="I267" s="75"/>
      <c r="J267" s="70"/>
      <c r="K267" s="84"/>
    </row>
    <row r="268" spans="1:11" ht="12.75" hidden="1">
      <c r="A268" s="69"/>
      <c r="B268" s="75"/>
      <c r="C268" s="70"/>
      <c r="D268" s="70"/>
      <c r="E268" s="70"/>
      <c r="F268" s="75"/>
      <c r="G268" s="75"/>
      <c r="H268" s="75"/>
      <c r="I268" s="75"/>
      <c r="J268" s="70"/>
      <c r="K268" s="84"/>
    </row>
    <row r="269" spans="1:11" ht="12.75" hidden="1">
      <c r="A269" s="69" t="s">
        <v>18</v>
      </c>
      <c r="B269" s="75">
        <f>SUM(B266:B268)</f>
        <v>0</v>
      </c>
      <c r="C269" s="75"/>
      <c r="D269" s="75">
        <f>SUM(D266:D268)</f>
        <v>0</v>
      </c>
      <c r="E269" s="75"/>
      <c r="F269" s="75"/>
      <c r="G269" s="75">
        <f>SUM(G266:G268)</f>
        <v>0</v>
      </c>
      <c r="H269" s="75">
        <f>SUM(H266:H268)</f>
        <v>0</v>
      </c>
      <c r="I269" s="75">
        <f>SUM(I266:I268)</f>
        <v>0</v>
      </c>
      <c r="J269" s="70">
        <f>IF(B269&gt;0,I269/D269,0)</f>
        <v>0</v>
      </c>
      <c r="K269" s="84"/>
    </row>
    <row r="270" ht="12.75" hidden="1">
      <c r="A270" s="1"/>
    </row>
    <row r="271" ht="12.75" hidden="1">
      <c r="A271" s="1" t="s">
        <v>368</v>
      </c>
    </row>
    <row r="272" spans="1:9" ht="51" hidden="1">
      <c r="A272" s="67"/>
      <c r="B272" s="68" t="s">
        <v>374</v>
      </c>
      <c r="C272" s="68" t="s">
        <v>283</v>
      </c>
      <c r="D272" s="87" t="s">
        <v>284</v>
      </c>
      <c r="E272" s="87" t="s">
        <v>307</v>
      </c>
      <c r="F272" s="68" t="s">
        <v>285</v>
      </c>
      <c r="G272" s="87" t="s">
        <v>286</v>
      </c>
      <c r="H272" s="68" t="s">
        <v>287</v>
      </c>
      <c r="I272" s="68" t="s">
        <v>288</v>
      </c>
    </row>
    <row r="273" spans="1:9" ht="12.75" hidden="1">
      <c r="A273" s="69" t="s">
        <v>280</v>
      </c>
      <c r="B273" s="70">
        <f>B227</f>
        <v>1</v>
      </c>
      <c r="C273" s="75">
        <f>+C243</f>
        <v>0</v>
      </c>
      <c r="D273" s="75">
        <f>IF(InputResults!$D$114="Manual",Calculations!$C$22,(1-Calculations!$C$26)*Calculations!$C$22)*C273</f>
        <v>0</v>
      </c>
      <c r="E273" s="70">
        <f>InputResults!D131/InputResults!D127</f>
        <v>0.01</v>
      </c>
      <c r="F273" s="75">
        <f>(H266*(InputResults!D108/InputResults!D104))+(G266*E273)</f>
        <v>0</v>
      </c>
      <c r="G273" s="75">
        <f>IF(InputResults!$E$114="Manual",Calculations!$C$22,(1-Calculations!$C$26)*Calculations!$C$22)*F273</f>
        <v>0</v>
      </c>
      <c r="H273" s="75">
        <f>D273-G273</f>
        <v>0</v>
      </c>
      <c r="I273" s="70">
        <f>IF(B266&gt;0,H273/D273,0)</f>
        <v>0</v>
      </c>
    </row>
    <row r="274" spans="1:9" ht="12.75" hidden="1">
      <c r="A274" s="69"/>
      <c r="B274" s="70"/>
      <c r="C274" s="75"/>
      <c r="D274" s="75"/>
      <c r="E274" s="75"/>
      <c r="F274" s="75"/>
      <c r="G274" s="75"/>
      <c r="H274" s="75"/>
      <c r="I274" s="70"/>
    </row>
    <row r="275" spans="1:9" ht="12.75" hidden="1">
      <c r="A275" s="69"/>
      <c r="B275" s="70"/>
      <c r="C275" s="75"/>
      <c r="D275" s="75"/>
      <c r="E275" s="75"/>
      <c r="F275" s="75"/>
      <c r="G275" s="75"/>
      <c r="H275" s="75"/>
      <c r="I275" s="70"/>
    </row>
    <row r="276" spans="1:9" ht="12.75" hidden="1">
      <c r="A276" s="69" t="s">
        <v>18</v>
      </c>
      <c r="B276" s="67"/>
      <c r="C276" s="75">
        <f>SUM(C273:C275)</f>
        <v>0</v>
      </c>
      <c r="D276" s="75">
        <f>SUM(D273:D275)</f>
        <v>0</v>
      </c>
      <c r="E276" s="75"/>
      <c r="F276" s="75">
        <f>SUM(F273:F275)</f>
        <v>0</v>
      </c>
      <c r="G276" s="75">
        <f>SUM(G273:G275)</f>
        <v>0</v>
      </c>
      <c r="H276" s="75">
        <f>SUM(H273:H275)</f>
        <v>0</v>
      </c>
      <c r="I276" s="70">
        <f>IF(B269&gt;0,H276/D276,0)</f>
        <v>0</v>
      </c>
    </row>
    <row r="277" ht="12.75" hidden="1"/>
    <row r="278" ht="12.75" hidden="1">
      <c r="A278" s="1" t="s">
        <v>369</v>
      </c>
    </row>
    <row r="279" ht="12.75" hidden="1">
      <c r="A279" s="6"/>
    </row>
    <row r="280" ht="12.75" hidden="1">
      <c r="A280" s="10" t="s">
        <v>370</v>
      </c>
    </row>
    <row r="281" spans="1:11" ht="51" hidden="1">
      <c r="A281" s="67"/>
      <c r="B281" s="68" t="s">
        <v>376</v>
      </c>
      <c r="C281" s="68" t="s">
        <v>349</v>
      </c>
      <c r="D281" s="68" t="s">
        <v>308</v>
      </c>
      <c r="E281" s="68" t="s">
        <v>346</v>
      </c>
      <c r="F281" s="68" t="s">
        <v>309</v>
      </c>
      <c r="G281" s="68" t="s">
        <v>311</v>
      </c>
      <c r="H281" s="68" t="s">
        <v>310</v>
      </c>
      <c r="I281" s="131"/>
      <c r="J281" s="131"/>
      <c r="K281" s="131"/>
    </row>
    <row r="282" spans="1:11" ht="12.75" hidden="1">
      <c r="A282" s="69" t="s">
        <v>268</v>
      </c>
      <c r="B282" s="74">
        <f>C220</f>
        <v>0</v>
      </c>
      <c r="C282" s="75">
        <f>D282/InputResults!D104</f>
        <v>0</v>
      </c>
      <c r="D282" s="74">
        <f>+H266</f>
        <v>0</v>
      </c>
      <c r="E282" s="70">
        <f>E266</f>
        <v>0</v>
      </c>
      <c r="F282" s="70">
        <f>IF(AND(InputResults!D119="no",InputResults!E119="yes"),C29,0)</f>
        <v>0</v>
      </c>
      <c r="G282" s="75">
        <f>G266*(1-F282)</f>
        <v>0</v>
      </c>
      <c r="H282" s="75">
        <f>D282*(1-F282)</f>
        <v>0</v>
      </c>
      <c r="I282" s="84"/>
      <c r="J282" s="84"/>
      <c r="K282" s="84"/>
    </row>
    <row r="283" spans="1:11" ht="12.75" hidden="1">
      <c r="A283" s="69"/>
      <c r="B283" s="74"/>
      <c r="C283" s="75"/>
      <c r="D283" s="74"/>
      <c r="E283" s="74"/>
      <c r="F283" s="75"/>
      <c r="G283" s="75"/>
      <c r="H283" s="75"/>
      <c r="I283" s="84"/>
      <c r="J283" s="84"/>
      <c r="K283" s="84"/>
    </row>
    <row r="284" spans="1:11" ht="12.75" hidden="1">
      <c r="A284" s="69"/>
      <c r="B284" s="70"/>
      <c r="C284" s="75"/>
      <c r="D284" s="70"/>
      <c r="E284" s="70"/>
      <c r="F284" s="75"/>
      <c r="G284" s="75"/>
      <c r="H284" s="75"/>
      <c r="I284" s="84"/>
      <c r="J284" s="84"/>
      <c r="K284" s="84"/>
    </row>
    <row r="285" spans="1:11" ht="12.75" hidden="1">
      <c r="A285" s="69" t="s">
        <v>18</v>
      </c>
      <c r="B285" s="75">
        <f>SUM(B282:B284)</f>
        <v>0</v>
      </c>
      <c r="C285" s="75">
        <f>SUM(C282:C284)</f>
        <v>0</v>
      </c>
      <c r="D285" s="75">
        <f>SUM(D282:D284)</f>
        <v>0</v>
      </c>
      <c r="E285" s="75"/>
      <c r="F285" s="75"/>
      <c r="G285" s="75">
        <f>SUM(G282:G284)</f>
        <v>0</v>
      </c>
      <c r="H285" s="75">
        <f>SUM(H282:H284)</f>
        <v>0</v>
      </c>
      <c r="I285" s="84"/>
      <c r="J285" s="84"/>
      <c r="K285" s="84"/>
    </row>
    <row r="286" ht="12.75" hidden="1">
      <c r="A286" s="1"/>
    </row>
    <row r="287" ht="12.75" hidden="1">
      <c r="A287" s="10" t="s">
        <v>371</v>
      </c>
    </row>
    <row r="288" spans="1:10" ht="38.25" hidden="1">
      <c r="A288" s="67"/>
      <c r="B288" s="68" t="s">
        <v>374</v>
      </c>
      <c r="C288" s="87" t="s">
        <v>365</v>
      </c>
      <c r="D288" s="87" t="s">
        <v>307</v>
      </c>
      <c r="E288" s="68" t="s">
        <v>283</v>
      </c>
      <c r="F288" s="87" t="s">
        <v>284</v>
      </c>
      <c r="G288" s="68" t="s">
        <v>285</v>
      </c>
      <c r="H288" s="87" t="s">
        <v>286</v>
      </c>
      <c r="I288" s="68" t="s">
        <v>287</v>
      </c>
      <c r="J288" s="68" t="s">
        <v>288</v>
      </c>
    </row>
    <row r="289" spans="1:10" ht="12.75" hidden="1">
      <c r="A289" s="69" t="s">
        <v>280</v>
      </c>
      <c r="B289" s="70">
        <f>B273</f>
        <v>1</v>
      </c>
      <c r="C289" s="70">
        <f>InputResults!D108/InputResults!D104</f>
        <v>1</v>
      </c>
      <c r="D289" s="70">
        <f>E273</f>
        <v>0.01</v>
      </c>
      <c r="E289" s="75">
        <f>F273</f>
        <v>0</v>
      </c>
      <c r="F289" s="75">
        <f>G273</f>
        <v>0</v>
      </c>
      <c r="G289" s="75">
        <f>(H282*C289)+(G282*D289)</f>
        <v>0</v>
      </c>
      <c r="H289" s="75">
        <f>IF(InputResults!$E$114="Manual",Calculations!$C$22,(1-Calculations!$C$26)*Calculations!$C$22)*G289</f>
        <v>0</v>
      </c>
      <c r="I289" s="75">
        <f>F289-H289</f>
        <v>0</v>
      </c>
      <c r="J289" s="70">
        <f>IF(C282&gt;0,I289/F289,0)</f>
        <v>0</v>
      </c>
    </row>
    <row r="290" spans="1:10" ht="12.75" hidden="1">
      <c r="A290" s="69"/>
      <c r="B290" s="70"/>
      <c r="C290" s="75"/>
      <c r="D290" s="75"/>
      <c r="E290" s="75"/>
      <c r="F290" s="75"/>
      <c r="G290" s="75"/>
      <c r="H290" s="75"/>
      <c r="I290" s="75"/>
      <c r="J290" s="70"/>
    </row>
    <row r="291" spans="1:10" ht="12.75" hidden="1">
      <c r="A291" s="69"/>
      <c r="B291" s="70"/>
      <c r="C291" s="75"/>
      <c r="D291" s="75"/>
      <c r="E291" s="75"/>
      <c r="F291" s="75"/>
      <c r="G291" s="75"/>
      <c r="H291" s="75"/>
      <c r="I291" s="75"/>
      <c r="J291" s="70"/>
    </row>
    <row r="292" spans="1:10" ht="12.75" hidden="1">
      <c r="A292" s="69" t="s">
        <v>18</v>
      </c>
      <c r="B292" s="67"/>
      <c r="C292" s="75"/>
      <c r="D292" s="75"/>
      <c r="E292" s="75">
        <f>SUM(E289:E291)</f>
        <v>0</v>
      </c>
      <c r="F292" s="75">
        <f>SUM(F289:F291)</f>
        <v>0</v>
      </c>
      <c r="G292" s="75">
        <f>SUM(G289:G291)</f>
        <v>0</v>
      </c>
      <c r="H292" s="75">
        <f>SUM(H289:H291)</f>
        <v>0</v>
      </c>
      <c r="I292" s="75">
        <f>SUM(I289:I291)</f>
        <v>0</v>
      </c>
      <c r="J292" s="70">
        <f>IF(C285&gt;0,I292/F292,0)</f>
        <v>0</v>
      </c>
    </row>
    <row r="293" spans="1:6" ht="12.75" hidden="1">
      <c r="A293" s="1"/>
      <c r="F293" s="64"/>
    </row>
    <row r="294" ht="12.75" hidden="1">
      <c r="A294" s="6" t="s">
        <v>332</v>
      </c>
    </row>
    <row r="295" ht="12.75" hidden="1">
      <c r="A295" s="6"/>
    </row>
    <row r="296" spans="1:7" ht="63.75" hidden="1">
      <c r="A296" s="67"/>
      <c r="B296" s="68" t="s">
        <v>58</v>
      </c>
      <c r="C296" s="68" t="s">
        <v>59</v>
      </c>
      <c r="D296" s="68" t="s">
        <v>60</v>
      </c>
      <c r="E296" s="68" t="s">
        <v>61</v>
      </c>
      <c r="F296" s="68" t="s">
        <v>62</v>
      </c>
      <c r="G296" s="68" t="s">
        <v>63</v>
      </c>
    </row>
    <row r="297" spans="1:7" ht="12.75" hidden="1">
      <c r="A297" s="69" t="s">
        <v>15</v>
      </c>
      <c r="B297" s="73">
        <f>D44-I177</f>
        <v>0</v>
      </c>
      <c r="C297" s="70">
        <f>B297/D44</f>
        <v>0</v>
      </c>
      <c r="D297" s="73">
        <f>D83-G211</f>
        <v>0</v>
      </c>
      <c r="E297" s="70">
        <f>D297/D83</f>
        <v>0</v>
      </c>
      <c r="F297" s="73">
        <f>B37-I164</f>
        <v>0</v>
      </c>
      <c r="G297" s="70">
        <f>F297/B37</f>
        <v>0</v>
      </c>
    </row>
    <row r="298" spans="1:7" ht="12.75" hidden="1">
      <c r="A298" s="69" t="s">
        <v>16</v>
      </c>
      <c r="B298" s="73">
        <f>D45-I178</f>
        <v>0</v>
      </c>
      <c r="C298" s="70">
        <f>B298/D45</f>
        <v>0</v>
      </c>
      <c r="D298" s="73">
        <f>D84-G212</f>
        <v>0</v>
      </c>
      <c r="E298" s="70">
        <f>D298/D84</f>
        <v>0</v>
      </c>
      <c r="F298" s="73">
        <f>B38-I165</f>
        <v>0</v>
      </c>
      <c r="G298" s="70">
        <f>F298/B38</f>
        <v>0</v>
      </c>
    </row>
    <row r="299" spans="1:7" ht="12.75" hidden="1">
      <c r="A299" s="69" t="s">
        <v>17</v>
      </c>
      <c r="B299" s="73">
        <f>D46-I179</f>
        <v>0</v>
      </c>
      <c r="C299" s="70">
        <f>B299/D46</f>
        <v>0</v>
      </c>
      <c r="D299" s="73">
        <f>D85-G213</f>
        <v>0</v>
      </c>
      <c r="E299" s="70">
        <f>D299/D85</f>
        <v>0</v>
      </c>
      <c r="F299" s="73">
        <f>B39-I166</f>
        <v>0</v>
      </c>
      <c r="G299" s="70">
        <f>F299/B39</f>
        <v>0</v>
      </c>
    </row>
    <row r="300" spans="1:7" ht="12.75" hidden="1">
      <c r="A300" s="69" t="s">
        <v>312</v>
      </c>
      <c r="B300" s="73">
        <f>D227-H289</f>
        <v>0</v>
      </c>
      <c r="C300" s="70">
        <f>IF(B220&gt;0,B300/D227,0)</f>
        <v>0</v>
      </c>
      <c r="D300" s="73" t="s">
        <v>253</v>
      </c>
      <c r="E300" s="70" t="s">
        <v>253</v>
      </c>
      <c r="F300" s="73">
        <f>C220-E236</f>
        <v>0</v>
      </c>
      <c r="G300" s="70">
        <f>IF(B220&gt;0,F300/C220,0)</f>
        <v>0</v>
      </c>
    </row>
    <row r="301" spans="1:7" ht="12.75" hidden="1">
      <c r="A301" s="69" t="s">
        <v>18</v>
      </c>
      <c r="B301" s="73">
        <f>SUM(B297:B300)</f>
        <v>0</v>
      </c>
      <c r="C301" s="70">
        <f>B301/(D47+D230)</f>
        <v>0</v>
      </c>
      <c r="D301" s="73">
        <f>SUM(D297:D299)</f>
        <v>0</v>
      </c>
      <c r="E301" s="70">
        <f>D301/D86</f>
        <v>0</v>
      </c>
      <c r="F301" s="73">
        <f>SUM(F297:F300)</f>
        <v>0</v>
      </c>
      <c r="G301" s="70">
        <f>F301/(B40+C223)</f>
        <v>0</v>
      </c>
    </row>
    <row r="302" ht="12.75" hidden="1"/>
    <row r="303" ht="12.75" hidden="1"/>
    <row r="304" ht="12.75" hidden="1">
      <c r="A304" s="1" t="s">
        <v>65</v>
      </c>
    </row>
    <row r="305" ht="12.75" hidden="1">
      <c r="A305" s="4" t="s">
        <v>94</v>
      </c>
    </row>
    <row r="306" ht="12.75" hidden="1">
      <c r="A306" s="4" t="s">
        <v>95</v>
      </c>
    </row>
    <row r="307" spans="1:10" ht="45" customHeight="1" hidden="1">
      <c r="A307" s="199" t="s">
        <v>277</v>
      </c>
      <c r="B307" s="199"/>
      <c r="C307" s="199"/>
      <c r="D307" s="199"/>
      <c r="E307" s="199"/>
      <c r="F307" s="199"/>
      <c r="G307" s="199"/>
      <c r="H307" s="199"/>
      <c r="I307" s="199"/>
      <c r="J307" s="199"/>
    </row>
    <row r="308" spans="1:10" ht="33.75" customHeight="1" hidden="1">
      <c r="A308" s="199" t="s">
        <v>290</v>
      </c>
      <c r="B308" s="199"/>
      <c r="C308" s="199"/>
      <c r="D308" s="199"/>
      <c r="E308" s="199"/>
      <c r="F308" s="199"/>
      <c r="G308" s="199"/>
      <c r="H308" s="199"/>
      <c r="I308" s="199"/>
      <c r="J308" s="199"/>
    </row>
    <row r="309" spans="1:10" ht="30.75" customHeight="1" hidden="1">
      <c r="A309" s="199" t="s">
        <v>335</v>
      </c>
      <c r="B309" s="171"/>
      <c r="C309" s="171"/>
      <c r="D309" s="171"/>
      <c r="E309" s="171"/>
      <c r="F309" s="171"/>
      <c r="G309" s="171"/>
      <c r="H309" s="171"/>
      <c r="I309" s="171"/>
      <c r="J309" s="171"/>
    </row>
    <row r="310" spans="1:10" ht="25.5" customHeight="1" hidden="1">
      <c r="A310" s="172" t="s">
        <v>405</v>
      </c>
      <c r="B310" s="172"/>
      <c r="C310" s="172"/>
      <c r="D310" s="172"/>
      <c r="E310" s="172"/>
      <c r="F310" s="172"/>
      <c r="G310" s="172"/>
      <c r="H310" s="172"/>
      <c r="I310" s="172"/>
      <c r="J310" s="172"/>
    </row>
    <row r="311" spans="1:3" ht="15.75" hidden="1">
      <c r="A311" s="166" t="s">
        <v>394</v>
      </c>
      <c r="B311"/>
      <c r="C311"/>
    </row>
    <row r="312" spans="1:3" ht="15.75" hidden="1">
      <c r="A312" s="167"/>
      <c r="B312"/>
      <c r="C312"/>
    </row>
    <row r="313" spans="1:3" ht="12.75" hidden="1">
      <c r="A313"/>
      <c r="B313"/>
      <c r="C313"/>
    </row>
    <row r="314" spans="1:3" ht="15.75" hidden="1">
      <c r="A314" s="166"/>
      <c r="B314"/>
      <c r="C314"/>
    </row>
    <row r="315" spans="1:3" ht="15.75" hidden="1">
      <c r="A315" s="166" t="s">
        <v>395</v>
      </c>
      <c r="B315"/>
      <c r="C315"/>
    </row>
    <row r="316" spans="1:7" ht="15.75" hidden="1">
      <c r="A316" s="167" t="s">
        <v>396</v>
      </c>
      <c r="B316"/>
      <c r="C316"/>
      <c r="G316" s="166" t="s">
        <v>406</v>
      </c>
    </row>
    <row r="317" spans="1:3" ht="15.75" hidden="1">
      <c r="A317" s="166"/>
      <c r="B317"/>
      <c r="C317"/>
    </row>
    <row r="318" spans="1:3" ht="15.75" hidden="1">
      <c r="A318" s="166" t="s">
        <v>397</v>
      </c>
      <c r="B318"/>
      <c r="C318"/>
    </row>
    <row r="319" spans="1:3" ht="12.75" hidden="1">
      <c r="A319"/>
      <c r="B319"/>
      <c r="C319"/>
    </row>
    <row r="320" spans="1:3" ht="15.75" hidden="1">
      <c r="A320" s="166"/>
      <c r="B320"/>
      <c r="C320"/>
    </row>
    <row r="321" spans="1:3" ht="15.75" hidden="1">
      <c r="A321" s="166" t="s">
        <v>398</v>
      </c>
      <c r="B321"/>
      <c r="C321"/>
    </row>
    <row r="322" spans="1:3" ht="15.75" hidden="1">
      <c r="A322" s="167"/>
      <c r="B322"/>
      <c r="C322"/>
    </row>
    <row r="323" spans="1:3" ht="15.75" hidden="1">
      <c r="A323" s="167"/>
      <c r="B323"/>
      <c r="C323"/>
    </row>
    <row r="324" spans="1:7" ht="15.75" hidden="1">
      <c r="A324"/>
      <c r="B324"/>
      <c r="C324" s="167" t="s">
        <v>399</v>
      </c>
      <c r="G324" s="166" t="s">
        <v>399</v>
      </c>
    </row>
    <row r="325" spans="1:3" ht="15.75" hidden="1">
      <c r="A325" s="166"/>
      <c r="B325"/>
      <c r="C325"/>
    </row>
    <row r="326" spans="1:3" ht="15.75" hidden="1">
      <c r="A326" s="166" t="s">
        <v>400</v>
      </c>
      <c r="B326"/>
      <c r="C326"/>
    </row>
    <row r="327" spans="1:3" ht="12.75" hidden="1">
      <c r="A327"/>
      <c r="B327"/>
      <c r="C327"/>
    </row>
    <row r="328" spans="1:3" ht="15.75" hidden="1">
      <c r="A328" s="166"/>
      <c r="B328"/>
      <c r="C328"/>
    </row>
    <row r="329" spans="1:3" ht="15.75" hidden="1">
      <c r="A329" s="166" t="s">
        <v>401</v>
      </c>
      <c r="B329"/>
      <c r="C329"/>
    </row>
    <row r="330" spans="1:3" ht="12.75" hidden="1">
      <c r="A330"/>
      <c r="B330"/>
      <c r="C330"/>
    </row>
    <row r="331" spans="1:3" ht="15.75" hidden="1">
      <c r="A331" s="166"/>
      <c r="B331"/>
      <c r="C331"/>
    </row>
    <row r="332" spans="1:3" ht="15.75" hidden="1">
      <c r="A332" s="166"/>
      <c r="B332"/>
      <c r="C332"/>
    </row>
    <row r="333" spans="1:3" ht="15.75" hidden="1">
      <c r="A333" s="166" t="s">
        <v>402</v>
      </c>
      <c r="B333"/>
      <c r="C333"/>
    </row>
    <row r="334" spans="1:3" ht="12.75" hidden="1">
      <c r="A334"/>
      <c r="B334"/>
      <c r="C334"/>
    </row>
    <row r="335" spans="1:3" ht="15.75" hidden="1">
      <c r="A335" s="166"/>
      <c r="B335"/>
      <c r="C335"/>
    </row>
    <row r="336" spans="1:3" ht="15.75" hidden="1">
      <c r="A336" s="166"/>
      <c r="B336"/>
      <c r="C336"/>
    </row>
    <row r="337" spans="1:3" ht="15.75" hidden="1">
      <c r="A337" s="166" t="s">
        <v>403</v>
      </c>
      <c r="B337"/>
      <c r="C337"/>
    </row>
    <row r="338" spans="1:3" ht="15.75" hidden="1">
      <c r="A338" s="167"/>
      <c r="B338"/>
      <c r="C338"/>
    </row>
    <row r="339" spans="1:3" ht="12.75" hidden="1">
      <c r="A339"/>
      <c r="B339"/>
      <c r="C339"/>
    </row>
    <row r="340" spans="1:3" ht="15.75" hidden="1">
      <c r="A340" s="166"/>
      <c r="B340"/>
      <c r="C340"/>
    </row>
  </sheetData>
  <sheetProtection password="DDE5" sheet="1" objects="1" scenarios="1"/>
  <mergeCells count="4">
    <mergeCell ref="A307:J307"/>
    <mergeCell ref="A308:J308"/>
    <mergeCell ref="A309:J309"/>
    <mergeCell ref="A310:J310"/>
  </mergeCells>
  <printOptions/>
  <pageMargins left="0.25" right="0.25" top="0.5" bottom="0.5" header="0.25" footer="0.25"/>
  <pageSetup fitToHeight="8" horizontalDpi="300" verticalDpi="300" orientation="landscape" scale="71" r:id="rId2"/>
  <headerFooter alignWithMargins="0">
    <oddHeader>&amp;CDfE Emissions Reductions Calculator for the Automotive Refinishing Industry (Calculations Worksheet)</oddHeader>
    <oddFooter>&amp;LWarning! This worksheet contains calculations and formulas. 
Do not modify this worksheet.&amp;RDate last revised: May 2008</oddFooter>
  </headerFooter>
  <rowBreaks count="2" manualBreakCount="2">
    <brk id="54" max="255" man="1"/>
    <brk id="8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Research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Jennifer Biancuzzo</dc:creator>
  <cp:keywords/>
  <dc:description/>
  <cp:lastModifiedBy>Churilla</cp:lastModifiedBy>
  <cp:lastPrinted>2008-05-14T15:16:38Z</cp:lastPrinted>
  <dcterms:created xsi:type="dcterms:W3CDTF">2007-08-06T15:44:41Z</dcterms:created>
  <dcterms:modified xsi:type="dcterms:W3CDTF">2008-05-20T14:48:07Z</dcterms:modified>
  <cp:category/>
  <cp:version/>
  <cp:contentType/>
  <cp:contentStatus/>
</cp:coreProperties>
</file>