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95" activeTab="0"/>
  </bookViews>
  <sheets>
    <sheet name="Sheet1" sheetId="1" r:id="rId1"/>
  </sheets>
  <definedNames>
    <definedName name="_xlnm.Print_Area" localSheetId="0">'Sheet1'!$A$1:$R$46</definedName>
  </definedNames>
  <calcPr fullCalcOnLoad="1"/>
</workbook>
</file>

<file path=xl/sharedStrings.xml><?xml version="1.0" encoding="utf-8"?>
<sst xmlns="http://schemas.openxmlformats.org/spreadsheetml/2006/main" count="47" uniqueCount="42">
  <si>
    <t>Program</t>
  </si>
  <si>
    <t>Elementary/Secondary Education (K-12)</t>
  </si>
  <si>
    <t>Other K-12</t>
  </si>
  <si>
    <t>Postsecondary Education</t>
  </si>
  <si>
    <t>Other Programs and Activities</t>
  </si>
  <si>
    <t xml:space="preserve">  Title I Grants to Local Educational Agencies</t>
  </si>
  <si>
    <t xml:space="preserve">  Reading First</t>
  </si>
  <si>
    <t xml:space="preserve">  Impact Aid</t>
  </si>
  <si>
    <t xml:space="preserve">  Improving Teacher Quality State Grants</t>
  </si>
  <si>
    <t xml:space="preserve">  21st Century Community Learning Centers</t>
  </si>
  <si>
    <t xml:space="preserve">  English Language Acquisition</t>
  </si>
  <si>
    <t xml:space="preserve">  Other</t>
  </si>
  <si>
    <t xml:space="preserve">    Grants to States</t>
  </si>
  <si>
    <t xml:space="preserve">    Other</t>
  </si>
  <si>
    <t xml:space="preserve">  Federal Pell Grants</t>
  </si>
  <si>
    <t xml:space="preserve">  Other Student Financial Assistance</t>
  </si>
  <si>
    <t xml:space="preserve">  Other Postscondary Education</t>
  </si>
  <si>
    <t>Fiscal Year</t>
  </si>
  <si>
    <t>2000</t>
  </si>
  <si>
    <t>2001</t>
  </si>
  <si>
    <t>2002</t>
  </si>
  <si>
    <t>2003</t>
  </si>
  <si>
    <t>2004</t>
  </si>
  <si>
    <t>2005</t>
  </si>
  <si>
    <t>DEPARTMENT OF EDUCATION</t>
  </si>
  <si>
    <t>CHECK</t>
  </si>
  <si>
    <t>(dollars in thousands)</t>
  </si>
  <si>
    <t>Special Education (IDEA)</t>
  </si>
  <si>
    <t>TOTAL, ED Discretionary Funds</t>
  </si>
  <si>
    <t>Amount</t>
  </si>
  <si>
    <t>Percent</t>
  </si>
  <si>
    <t xml:space="preserve">                              Change from 2001 to 2005</t>
  </si>
  <si>
    <t xml:space="preserve">                         Subtotal, NCLB</t>
  </si>
  <si>
    <t xml:space="preserve">                         Subtotal, IDEA</t>
  </si>
  <si>
    <t xml:space="preserve">  Subtotal, Postsecondary Education</t>
  </si>
  <si>
    <t xml:space="preserve">  Subtotal, Elementary/Secondary Education</t>
  </si>
  <si>
    <t xml:space="preserve">  State Assessments</t>
  </si>
  <si>
    <t>No Child Left Behind (NCLB)</t>
  </si>
  <si>
    <t xml:space="preserve">                  Subtotal, NCLB and IDEA</t>
  </si>
  <si>
    <t xml:space="preserve">  Safe and Drug-Free Schools and Communities</t>
  </si>
  <si>
    <t>Archived Information</t>
  </si>
  <si>
    <t>Archived:  Summary of Discretionary Funds, Fiscal Years 2000-2005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</si>
</sst>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2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2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75" zoomScaleNormal="75" workbookViewId="0" topLeftCell="A1">
      <selection activeCell="I5" sqref="I5"/>
    </sheetView>
  </sheetViews>
  <sheetFormatPr defaultColWidth="8.88671875" defaultRowHeight="15"/>
  <cols>
    <col min="1" max="1" width="40.6640625" style="0" customWidth="1"/>
    <col min="2" max="2" width="1.66796875" style="0" customWidth="1"/>
    <col min="3" max="3" width="12.6640625" style="0" customWidth="1"/>
    <col min="4" max="4" width="1.66796875" style="0" customWidth="1"/>
    <col min="5" max="5" width="12.6640625" style="0" customWidth="1"/>
    <col min="6" max="6" width="1.66796875" style="0" customWidth="1"/>
    <col min="7" max="7" width="12.6640625" style="0" customWidth="1"/>
    <col min="8" max="8" width="1.66796875" style="0" customWidth="1"/>
    <col min="9" max="9" width="12.6640625" style="0" customWidth="1"/>
    <col min="10" max="10" width="1.66796875" style="0" customWidth="1"/>
    <col min="11" max="11" width="12.6640625" style="0" customWidth="1"/>
    <col min="12" max="12" width="1.66796875" style="0" customWidth="1"/>
    <col min="13" max="13" width="12.6640625" style="0" customWidth="1"/>
    <col min="14" max="14" width="1.66796875" style="0" customWidth="1"/>
    <col min="15" max="15" width="12.6640625" style="0" customWidth="1"/>
    <col min="16" max="16" width="1.66796875" style="0" customWidth="1"/>
    <col min="17" max="17" width="12.6640625" style="0" customWidth="1"/>
    <col min="18" max="18" width="1.66796875" style="0" customWidth="1"/>
    <col min="19" max="16384" width="8.6640625" style="0" customWidth="1"/>
  </cols>
  <sheetData>
    <row r="1" ht="27">
      <c r="G1" s="14" t="s">
        <v>40</v>
      </c>
    </row>
    <row r="2" spans="1:17" ht="1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5" ht="15">
      <c r="A5" s="6" t="s">
        <v>26</v>
      </c>
    </row>
    <row r="6" spans="3:17" ht="15">
      <c r="C6" s="1" t="s">
        <v>17</v>
      </c>
      <c r="D6" s="1"/>
      <c r="E6" s="1" t="s">
        <v>17</v>
      </c>
      <c r="F6" s="1"/>
      <c r="G6" s="1" t="s">
        <v>17</v>
      </c>
      <c r="H6" s="1"/>
      <c r="I6" s="1" t="s">
        <v>17</v>
      </c>
      <c r="J6" s="1"/>
      <c r="K6" s="1" t="s">
        <v>17</v>
      </c>
      <c r="L6" s="1"/>
      <c r="M6" s="1" t="s">
        <v>17</v>
      </c>
      <c r="O6" s="2" t="s">
        <v>31</v>
      </c>
      <c r="P6" s="2"/>
      <c r="Q6" s="2"/>
    </row>
    <row r="7" spans="1:17" ht="15">
      <c r="A7" s="2" t="s">
        <v>0</v>
      </c>
      <c r="C7" s="7" t="s">
        <v>18</v>
      </c>
      <c r="E7" s="7" t="s">
        <v>19</v>
      </c>
      <c r="G7" s="7" t="s">
        <v>20</v>
      </c>
      <c r="I7" s="7" t="s">
        <v>21</v>
      </c>
      <c r="K7" s="7" t="s">
        <v>22</v>
      </c>
      <c r="M7" s="7" t="s">
        <v>23</v>
      </c>
      <c r="O7" s="2" t="s">
        <v>29</v>
      </c>
      <c r="Q7" s="2" t="s">
        <v>30</v>
      </c>
    </row>
    <row r="9" ht="15.75">
      <c r="A9" s="4" t="s">
        <v>1</v>
      </c>
    </row>
    <row r="11" ht="15">
      <c r="A11" s="3" t="s">
        <v>37</v>
      </c>
    </row>
    <row r="13" spans="1:17" ht="15">
      <c r="A13" t="s">
        <v>5</v>
      </c>
      <c r="C13" s="8">
        <v>7941397</v>
      </c>
      <c r="E13" s="8">
        <v>8762721</v>
      </c>
      <c r="G13" s="8">
        <v>10350000</v>
      </c>
      <c r="I13" s="8">
        <v>11688664</v>
      </c>
      <c r="K13" s="8">
        <v>12342309</v>
      </c>
      <c r="M13" s="8">
        <v>13342309</v>
      </c>
      <c r="O13" s="8">
        <f aca="true" t="shared" si="0" ref="O13:O21">M13-E13</f>
        <v>4579588</v>
      </c>
      <c r="Q13" s="11">
        <f aca="true" t="shared" si="1" ref="Q13:Q21">IF(E13=0,"         ---",ROUND((M13-E13)/E13,3))</f>
        <v>0.523</v>
      </c>
    </row>
    <row r="14" spans="1:17" ht="15">
      <c r="A14" t="s">
        <v>6</v>
      </c>
      <c r="C14" s="8">
        <v>0</v>
      </c>
      <c r="E14" s="8">
        <v>286000</v>
      </c>
      <c r="G14" s="8">
        <v>975000</v>
      </c>
      <c r="I14" s="8">
        <v>1068012</v>
      </c>
      <c r="K14" s="8">
        <v>1118362</v>
      </c>
      <c r="M14" s="8">
        <v>1257000</v>
      </c>
      <c r="O14" s="8">
        <f t="shared" si="0"/>
        <v>971000</v>
      </c>
      <c r="Q14" s="11">
        <f t="shared" si="1"/>
        <v>3.395</v>
      </c>
    </row>
    <row r="15" spans="1:17" ht="15">
      <c r="A15" t="s">
        <v>7</v>
      </c>
      <c r="C15" s="8">
        <v>906452</v>
      </c>
      <c r="E15" s="8">
        <v>993302</v>
      </c>
      <c r="G15" s="8">
        <v>1143500</v>
      </c>
      <c r="I15" s="8">
        <v>1188226</v>
      </c>
      <c r="K15" s="8">
        <v>1229527</v>
      </c>
      <c r="M15" s="8">
        <v>1229527</v>
      </c>
      <c r="O15" s="8">
        <f t="shared" si="0"/>
        <v>236225</v>
      </c>
      <c r="Q15" s="11">
        <f t="shared" si="1"/>
        <v>0.238</v>
      </c>
    </row>
    <row r="16" spans="1:17" ht="15">
      <c r="A16" t="s">
        <v>8</v>
      </c>
      <c r="C16" s="8">
        <v>0</v>
      </c>
      <c r="E16" s="8">
        <v>0</v>
      </c>
      <c r="G16" s="8">
        <v>2850000</v>
      </c>
      <c r="I16" s="8">
        <v>2930825</v>
      </c>
      <c r="K16" s="8">
        <v>2930126</v>
      </c>
      <c r="M16" s="8">
        <v>2930126</v>
      </c>
      <c r="O16" s="8">
        <f t="shared" si="0"/>
        <v>2930126</v>
      </c>
      <c r="Q16" s="11" t="str">
        <f t="shared" si="1"/>
        <v>         ---</v>
      </c>
    </row>
    <row r="17" spans="1:17" ht="15">
      <c r="A17" s="5" t="s">
        <v>9</v>
      </c>
      <c r="C17" s="8">
        <v>453377</v>
      </c>
      <c r="E17" s="8">
        <v>845614</v>
      </c>
      <c r="G17" s="8">
        <v>1000000</v>
      </c>
      <c r="I17" s="8">
        <v>993500</v>
      </c>
      <c r="K17" s="8">
        <v>999070</v>
      </c>
      <c r="M17" s="8">
        <v>999070</v>
      </c>
      <c r="O17" s="8">
        <f t="shared" si="0"/>
        <v>153456</v>
      </c>
      <c r="Q17" s="11">
        <f t="shared" si="1"/>
        <v>0.181</v>
      </c>
    </row>
    <row r="18" spans="1:17" ht="15">
      <c r="A18" t="s">
        <v>36</v>
      </c>
      <c r="C18" s="8">
        <v>0</v>
      </c>
      <c r="E18" s="8">
        <v>0</v>
      </c>
      <c r="G18" s="8">
        <v>387000</v>
      </c>
      <c r="I18" s="8">
        <v>384484</v>
      </c>
      <c r="K18" s="8">
        <v>390000</v>
      </c>
      <c r="M18" s="8">
        <v>410000</v>
      </c>
      <c r="O18" s="8">
        <f t="shared" si="0"/>
        <v>410000</v>
      </c>
      <c r="Q18" s="11" t="str">
        <f t="shared" si="1"/>
        <v>         ---</v>
      </c>
    </row>
    <row r="19" spans="1:17" ht="15">
      <c r="A19" t="s">
        <v>39</v>
      </c>
      <c r="C19" s="8">
        <v>600000</v>
      </c>
      <c r="E19" s="8">
        <v>644250</v>
      </c>
      <c r="G19" s="8">
        <v>696750</v>
      </c>
      <c r="I19" s="8">
        <v>666353</v>
      </c>
      <c r="K19" s="8">
        <v>674203</v>
      </c>
      <c r="M19" s="8">
        <v>715977</v>
      </c>
      <c r="O19" s="8">
        <f t="shared" si="0"/>
        <v>71727</v>
      </c>
      <c r="Q19" s="11">
        <f t="shared" si="1"/>
        <v>0.111</v>
      </c>
    </row>
    <row r="20" spans="1:17" ht="15">
      <c r="A20" t="s">
        <v>10</v>
      </c>
      <c r="C20" s="8">
        <v>398000</v>
      </c>
      <c r="E20" s="8">
        <v>446000</v>
      </c>
      <c r="G20" s="8">
        <v>664269</v>
      </c>
      <c r="I20" s="8">
        <v>683747</v>
      </c>
      <c r="K20" s="8">
        <v>681215</v>
      </c>
      <c r="M20" s="8">
        <v>681215</v>
      </c>
      <c r="O20" s="8">
        <f t="shared" si="0"/>
        <v>235215</v>
      </c>
      <c r="Q20" s="11">
        <f t="shared" si="1"/>
        <v>0.527</v>
      </c>
    </row>
    <row r="21" spans="1:17" ht="15">
      <c r="A21" t="s">
        <v>11</v>
      </c>
      <c r="C21" s="9">
        <f>14811252-9699226-600000</f>
        <v>4512026</v>
      </c>
      <c r="E21" s="9">
        <f>17382464-11333637-644250</f>
        <v>5404577</v>
      </c>
      <c r="G21" s="9">
        <f>22003676-17369769-696750</f>
        <v>3937157</v>
      </c>
      <c r="I21" s="9">
        <f>23625232-18937458-666353</f>
        <v>4021421</v>
      </c>
      <c r="K21" s="9">
        <f>24309276-19690609-674203</f>
        <v>3944464</v>
      </c>
      <c r="M21" s="9">
        <f>24772249-20849247-715977</f>
        <v>3207025</v>
      </c>
      <c r="O21" s="9">
        <f t="shared" si="0"/>
        <v>-2197552</v>
      </c>
      <c r="Q21" s="12">
        <f t="shared" si="1"/>
        <v>-0.407</v>
      </c>
    </row>
    <row r="22" spans="3:15" ht="15">
      <c r="C22" s="8"/>
      <c r="E22" s="8"/>
      <c r="G22" s="8"/>
      <c r="I22" s="8"/>
      <c r="K22" s="8"/>
      <c r="M22" s="8"/>
      <c r="O22" s="8"/>
    </row>
    <row r="23" spans="1:17" ht="15">
      <c r="A23" t="s">
        <v>32</v>
      </c>
      <c r="C23" s="8">
        <f>SUM(C12:C22)</f>
        <v>14811252</v>
      </c>
      <c r="E23" s="8">
        <f>SUM(E12:E22)</f>
        <v>17382464</v>
      </c>
      <c r="G23" s="8">
        <f>SUM(G12:G22)</f>
        <v>22003676</v>
      </c>
      <c r="I23" s="8">
        <f>SUM(I12:I22)</f>
        <v>23625232</v>
      </c>
      <c r="K23" s="8">
        <f>SUM(K12:K22)</f>
        <v>24309276</v>
      </c>
      <c r="M23" s="8">
        <f>SUM(M12:M22)</f>
        <v>24772249</v>
      </c>
      <c r="O23" s="8">
        <f>SUM(O12:O22)</f>
        <v>7389785</v>
      </c>
      <c r="Q23" s="11">
        <f>IF(E23=0,"         ---",ROUND((M23-E23)/E23,3))</f>
        <v>0.425</v>
      </c>
    </row>
    <row r="24" spans="3:15" ht="15">
      <c r="C24" s="8"/>
      <c r="E24" s="8"/>
      <c r="G24" s="8"/>
      <c r="I24" s="8"/>
      <c r="K24" s="8"/>
      <c r="M24" s="8"/>
      <c r="O24" s="8"/>
    </row>
    <row r="25" spans="1:15" ht="15">
      <c r="A25" s="3" t="s">
        <v>27</v>
      </c>
      <c r="C25" s="8"/>
      <c r="E25" s="8"/>
      <c r="G25" s="8"/>
      <c r="I25" s="8"/>
      <c r="K25" s="8"/>
      <c r="M25" s="8"/>
      <c r="O25" s="8"/>
    </row>
    <row r="26" spans="1:17" ht="15">
      <c r="A26" t="s">
        <v>12</v>
      </c>
      <c r="C26" s="8">
        <v>4989685</v>
      </c>
      <c r="E26" s="8">
        <v>6339685</v>
      </c>
      <c r="G26" s="8">
        <v>7528533</v>
      </c>
      <c r="I26" s="8">
        <v>8874398</v>
      </c>
      <c r="K26" s="8">
        <v>10068106</v>
      </c>
      <c r="M26" s="8">
        <v>11068106</v>
      </c>
      <c r="O26" s="8">
        <f>M26-E26</f>
        <v>4728421</v>
      </c>
      <c r="Q26" s="11">
        <f>IF(E26=0,"         ---",ROUND((M26-E26)/E26,3))</f>
        <v>0.746</v>
      </c>
    </row>
    <row r="27" spans="1:17" ht="15">
      <c r="A27" t="s">
        <v>13</v>
      </c>
      <c r="C27" s="9">
        <v>982078</v>
      </c>
      <c r="E27" s="9">
        <v>1022910</v>
      </c>
      <c r="G27" s="9">
        <v>1065891</v>
      </c>
      <c r="I27" s="9">
        <v>1082309</v>
      </c>
      <c r="K27" s="9">
        <v>1092601</v>
      </c>
      <c r="M27" s="9">
        <v>1107995</v>
      </c>
      <c r="O27" s="9">
        <f>M27-E27</f>
        <v>85085</v>
      </c>
      <c r="Q27" s="12">
        <f>IF(E27=0,"         ---",ROUND((M27-E27)/E27,3))</f>
        <v>0.083</v>
      </c>
    </row>
    <row r="28" spans="3:15" ht="15">
      <c r="C28" s="8"/>
      <c r="E28" s="8"/>
      <c r="G28" s="8"/>
      <c r="I28" s="8"/>
      <c r="K28" s="8"/>
      <c r="M28" s="8"/>
      <c r="O28" s="8"/>
    </row>
    <row r="29" spans="1:17" ht="15">
      <c r="A29" t="s">
        <v>33</v>
      </c>
      <c r="C29" s="8">
        <f>SUM(C24:C28)</f>
        <v>5971763</v>
      </c>
      <c r="E29" s="8">
        <f>SUM(E24:E28)</f>
        <v>7362595</v>
      </c>
      <c r="G29" s="8">
        <f>SUM(G24:G28)</f>
        <v>8594424</v>
      </c>
      <c r="I29" s="8">
        <f>SUM(I24:I28)</f>
        <v>9956707</v>
      </c>
      <c r="K29" s="8">
        <f>SUM(K24:K28)</f>
        <v>11160707</v>
      </c>
      <c r="M29" s="8">
        <f>SUM(M24:M28)</f>
        <v>12176101</v>
      </c>
      <c r="O29" s="8">
        <f>SUM(O24:O28)</f>
        <v>4813506</v>
      </c>
      <c r="Q29" s="11">
        <f>IF(E29=0,"         ---",ROUND((M29-E29)/E29,3))</f>
        <v>0.654</v>
      </c>
    </row>
    <row r="30" spans="3:17" ht="15">
      <c r="C30" s="8"/>
      <c r="E30" s="8"/>
      <c r="G30" s="8"/>
      <c r="I30" s="8"/>
      <c r="K30" s="8"/>
      <c r="M30" s="8"/>
      <c r="O30" s="8"/>
      <c r="Q30" s="11"/>
    </row>
    <row r="31" spans="1:17" ht="15">
      <c r="A31" t="s">
        <v>38</v>
      </c>
      <c r="C31" s="8">
        <f>C23+C29</f>
        <v>20783015</v>
      </c>
      <c r="E31" s="8">
        <f>E23+E29</f>
        <v>24745059</v>
      </c>
      <c r="G31" s="8">
        <f>G23+G29</f>
        <v>30598100</v>
      </c>
      <c r="I31" s="8">
        <f>I23+I29</f>
        <v>33581939</v>
      </c>
      <c r="K31" s="8">
        <f>K23+K29</f>
        <v>35469983</v>
      </c>
      <c r="M31" s="8">
        <f>M23+M29</f>
        <v>36948350</v>
      </c>
      <c r="O31" s="8">
        <f>O23+O29</f>
        <v>12203291</v>
      </c>
      <c r="Q31" s="11">
        <f>IF(E31=0,"         ---",ROUND((M31-E31)/E31,3))</f>
        <v>0.493</v>
      </c>
    </row>
    <row r="32" spans="3:15" ht="15">
      <c r="C32" s="8"/>
      <c r="E32" s="8"/>
      <c r="G32" s="8"/>
      <c r="I32" s="8"/>
      <c r="K32" s="8"/>
      <c r="M32" s="8"/>
      <c r="O32" s="8"/>
    </row>
    <row r="33" spans="1:17" ht="15">
      <c r="A33" s="3" t="s">
        <v>2</v>
      </c>
      <c r="C33" s="9">
        <f>23086299-20783015</f>
        <v>2303284</v>
      </c>
      <c r="E33" s="9">
        <f>27897393-24745059</f>
        <v>3152334</v>
      </c>
      <c r="G33" s="9">
        <f>32692494-30598100</f>
        <v>2094394</v>
      </c>
      <c r="I33" s="9">
        <f>35723818-33581939-62094</f>
        <v>2079785</v>
      </c>
      <c r="K33" s="9">
        <f>37556817-35469983</f>
        <v>2086834</v>
      </c>
      <c r="M33" s="9">
        <f>38679671-36948350</f>
        <v>1731321</v>
      </c>
      <c r="O33" s="9">
        <f>M33-E33</f>
        <v>-1421013</v>
      </c>
      <c r="Q33" s="12">
        <f>IF(E33=0,"         ---",ROUND((M33-E33)/E33,3))</f>
        <v>-0.451</v>
      </c>
    </row>
    <row r="34" spans="3:15" ht="15">
      <c r="C34" s="8"/>
      <c r="E34" s="8"/>
      <c r="G34" s="8"/>
      <c r="I34" s="8"/>
      <c r="K34" s="8"/>
      <c r="M34" s="8"/>
      <c r="O34" s="8"/>
    </row>
    <row r="35" spans="1:17" ht="15">
      <c r="A35" t="s">
        <v>35</v>
      </c>
      <c r="C35" s="8">
        <f>C23+C29+C33</f>
        <v>23086299</v>
      </c>
      <c r="E35" s="8">
        <f>E23+E29+E33</f>
        <v>27897393</v>
      </c>
      <c r="G35" s="8">
        <f>G23+G29+G33</f>
        <v>32692494</v>
      </c>
      <c r="I35" s="8">
        <f>I23+I29+I33</f>
        <v>35661724</v>
      </c>
      <c r="K35" s="8">
        <f>K23+K29+K33</f>
        <v>37556817</v>
      </c>
      <c r="M35" s="8">
        <f>M23+M29+M33</f>
        <v>38679671</v>
      </c>
      <c r="O35" s="8">
        <f>O23+O29+O33</f>
        <v>10782278</v>
      </c>
      <c r="Q35" s="11">
        <f>IF(E35=0,"         ---",ROUND((M35-E35)/E35,3))</f>
        <v>0.386</v>
      </c>
    </row>
    <row r="36" spans="3:15" ht="15">
      <c r="C36" s="8"/>
      <c r="E36" s="8"/>
      <c r="G36" s="8"/>
      <c r="I36" s="8"/>
      <c r="K36" s="8"/>
      <c r="M36" s="8"/>
      <c r="O36" s="8"/>
    </row>
    <row r="37" spans="1:15" ht="15.75">
      <c r="A37" s="4" t="s">
        <v>3</v>
      </c>
      <c r="C37" s="8"/>
      <c r="E37" s="8"/>
      <c r="G37" s="8"/>
      <c r="I37" s="8"/>
      <c r="K37" s="8"/>
      <c r="M37" s="8"/>
      <c r="O37" s="8"/>
    </row>
    <row r="38" spans="1:17" ht="15">
      <c r="A38" t="s">
        <v>14</v>
      </c>
      <c r="C38" s="8">
        <v>7639717</v>
      </c>
      <c r="E38" s="8">
        <v>8756000</v>
      </c>
      <c r="G38" s="8">
        <v>11314000</v>
      </c>
      <c r="I38" s="8">
        <v>11364646</v>
      </c>
      <c r="K38" s="8">
        <v>12006738</v>
      </c>
      <c r="M38" s="8">
        <v>12863000</v>
      </c>
      <c r="O38" s="8">
        <f>M38-E38</f>
        <v>4107000</v>
      </c>
      <c r="Q38" s="11">
        <f>IF(E38=0,"         ---",ROUND((M38-E38)/E38,3))</f>
        <v>0.469</v>
      </c>
    </row>
    <row r="39" spans="1:17" ht="15">
      <c r="A39" t="s">
        <v>15</v>
      </c>
      <c r="C39" s="8">
        <v>1735000</v>
      </c>
      <c r="E39" s="8">
        <v>1918000</v>
      </c>
      <c r="G39" s="8">
        <v>1971500</v>
      </c>
      <c r="I39" s="8">
        <v>1998426</v>
      </c>
      <c r="K39" s="8">
        <v>2000558</v>
      </c>
      <c r="M39" s="8">
        <v>1835622</v>
      </c>
      <c r="O39" s="8">
        <f>M39-E39</f>
        <v>-82378</v>
      </c>
      <c r="Q39" s="11">
        <f>IF(E39=0,"         ---",ROUND((M39-E39)/E39,3))</f>
        <v>-0.043</v>
      </c>
    </row>
    <row r="40" spans="1:17" ht="15">
      <c r="A40" t="s">
        <v>16</v>
      </c>
      <c r="C40" s="9">
        <v>1899054</v>
      </c>
      <c r="E40" s="9">
        <v>2297560</v>
      </c>
      <c r="G40" s="9">
        <v>2438336</v>
      </c>
      <c r="I40" s="9">
        <f>2498791+62094</f>
        <v>2560885</v>
      </c>
      <c r="K40" s="9">
        <v>2501498</v>
      </c>
      <c r="M40" s="9">
        <f>1591202+795000</f>
        <v>2386202</v>
      </c>
      <c r="O40" s="9">
        <f>M40-E40</f>
        <v>88642</v>
      </c>
      <c r="Q40" s="12">
        <f>IF(E40=0,"         ---",ROUND((M40-E40)/E40,3))</f>
        <v>0.039</v>
      </c>
    </row>
    <row r="41" spans="3:15" ht="15">
      <c r="C41" s="8"/>
      <c r="E41" s="8"/>
      <c r="G41" s="8"/>
      <c r="I41" s="8"/>
      <c r="K41" s="8"/>
      <c r="M41" s="8"/>
      <c r="O41" s="8"/>
    </row>
    <row r="42" spans="1:17" ht="15">
      <c r="A42" t="s">
        <v>34</v>
      </c>
      <c r="C42" s="8">
        <f>SUM(C37:C41)</f>
        <v>11273771</v>
      </c>
      <c r="E42" s="8">
        <f>SUM(E37:E41)</f>
        <v>12971560</v>
      </c>
      <c r="G42" s="8">
        <f>SUM(G37:G41)</f>
        <v>15723836</v>
      </c>
      <c r="I42" s="8">
        <f>SUM(I37:I41)</f>
        <v>15923957</v>
      </c>
      <c r="K42" s="8">
        <f>SUM(K37:K41)</f>
        <v>16508794</v>
      </c>
      <c r="M42" s="8">
        <f>SUM(M37:M41)</f>
        <v>17084824</v>
      </c>
      <c r="O42" s="8">
        <f>SUM(O37:O41)</f>
        <v>4113264</v>
      </c>
      <c r="Q42" s="11">
        <f>IF(E42=0,"         ---",ROUND((M42-E42)/E42,3))</f>
        <v>0.317</v>
      </c>
    </row>
    <row r="43" spans="3:15" ht="15">
      <c r="C43" s="8"/>
      <c r="E43" s="8"/>
      <c r="G43" s="8"/>
      <c r="I43" s="8"/>
      <c r="K43" s="8"/>
      <c r="M43" s="8"/>
      <c r="O43" s="8"/>
    </row>
    <row r="44" spans="1:17" ht="15.75">
      <c r="A44" s="4" t="s">
        <v>4</v>
      </c>
      <c r="C44" s="9">
        <v>1245997</v>
      </c>
      <c r="E44" s="9">
        <v>1361868</v>
      </c>
      <c r="G44" s="9">
        <v>1519269</v>
      </c>
      <c r="I44" s="9">
        <v>1528028</v>
      </c>
      <c r="K44" s="9">
        <v>1596856</v>
      </c>
      <c r="M44" s="9">
        <f>2369557-795000</f>
        <v>1574557</v>
      </c>
      <c r="O44" s="9">
        <f>M44-E44</f>
        <v>212689</v>
      </c>
      <c r="Q44" s="12">
        <f>IF(E44=0,"         ---",ROUND((M44-E44)/E44,3))</f>
        <v>0.156</v>
      </c>
    </row>
    <row r="45" spans="3:15" ht="15">
      <c r="C45" s="8"/>
      <c r="E45" s="8"/>
      <c r="G45" s="8"/>
      <c r="I45" s="8"/>
      <c r="K45" s="8"/>
      <c r="M45" s="8"/>
      <c r="O45" s="8"/>
    </row>
    <row r="46" spans="1:17" ht="15">
      <c r="A46" t="s">
        <v>28</v>
      </c>
      <c r="C46" s="8">
        <f>C35+C42+C44</f>
        <v>35606067</v>
      </c>
      <c r="E46" s="8">
        <f>E35+E42+E44</f>
        <v>42230821</v>
      </c>
      <c r="G46" s="8">
        <f>G35+G42+G44</f>
        <v>49935599</v>
      </c>
      <c r="I46" s="8">
        <f>I35+I42+I44</f>
        <v>53113709</v>
      </c>
      <c r="K46" s="8">
        <f>K35+K42+K44</f>
        <v>55662467</v>
      </c>
      <c r="M46" s="8">
        <f>M35+M42+M44</f>
        <v>57339052</v>
      </c>
      <c r="O46" s="8">
        <f>O35+O42+O44</f>
        <v>15108231</v>
      </c>
      <c r="Q46" s="11">
        <f>IF(E46=0,"         ---",ROUND((M46-E46)/E46,3))</f>
        <v>0.358</v>
      </c>
    </row>
    <row r="48" spans="1:17" ht="15">
      <c r="A48" s="10" t="s">
        <v>25</v>
      </c>
      <c r="O48" s="8">
        <f>M46-E46</f>
        <v>15108231</v>
      </c>
      <c r="Q48" s="11" t="str">
        <f>IF(E48=0,"         ---",ROUND((M48-E48)/E48,3))</f>
        <v>         ---</v>
      </c>
    </row>
    <row r="49" spans="15:17" ht="15">
      <c r="O49" s="8">
        <f>O46-O48</f>
        <v>0</v>
      </c>
      <c r="Q49" s="11" t="str">
        <f>IF(E49=0,"         ---",ROUND((M49-E49)/E49,3))</f>
        <v>         ---</v>
      </c>
    </row>
  </sheetData>
  <mergeCells count="2">
    <mergeCell ref="A2:Q2"/>
    <mergeCell ref="A3:Q3"/>
  </mergeCells>
  <printOptions/>
  <pageMargins left="0.75" right="0.75" top="1" bottom="1" header="0.5" footer="0.5"/>
  <pageSetup fitToHeight="1" fitToWidth="1" horizontalDpi="600" verticalDpi="600" orientation="landscape" scale="63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Summary of Discretionary funds FYs 2000-05 (MSExcel)</dc:title>
  <dc:subject/>
  <dc:creator>U.S. Department of Education</dc:creator>
  <cp:keywords/>
  <dc:description/>
  <cp:lastModifiedBy>martha.jacobs</cp:lastModifiedBy>
  <cp:lastPrinted>2004-01-23T20:25:52Z</cp:lastPrinted>
  <dcterms:created xsi:type="dcterms:W3CDTF">2004-01-22T17:52:28Z</dcterms:created>
  <dcterms:modified xsi:type="dcterms:W3CDTF">2007-07-26T21:06:56Z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