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14835" windowHeight="3945" activeTab="0"/>
  </bookViews>
  <sheets>
    <sheet name="CR..1001" sheetId="1" r:id="rId1"/>
  </sheets>
  <definedNames>
    <definedName name="ILC">'CR..1001'!$A$24:$U$43</definedName>
    <definedName name="_xlnm.Print_Area" localSheetId="0">'CR..1001'!$A$1:$AF$53</definedName>
    <definedName name="Print_Area_MI" localSheetId="0">'CR..1001'!$A$2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X193" authorId="0">
      <text>
        <r>
          <rPr>
            <sz val="8"/>
            <rFont val="Tahoma"/>
            <family val="0"/>
          </rPr>
          <t>Formula failed to convert</t>
        </r>
      </text>
    </comment>
    <comment ref="CX194" authorId="0">
      <text>
        <r>
          <rPr>
            <sz val="8"/>
            <rFont val="Tahoma"/>
            <family val="0"/>
          </rPr>
          <t>Formula failed to convert</t>
        </r>
      </text>
    </comment>
    <comment ref="CX195" authorId="0">
      <text>
        <r>
          <rPr>
            <sz val="8"/>
            <rFont val="Tahoma"/>
            <family val="0"/>
          </rPr>
          <t>Formula failed to convert</t>
        </r>
      </text>
    </comment>
    <comment ref="CX196" authorId="0">
      <text>
        <r>
          <rPr>
            <sz val="8"/>
            <rFont val="Tahoma"/>
            <family val="0"/>
          </rPr>
          <t>Formula failed to convert</t>
        </r>
      </text>
    </comment>
    <comment ref="DX391" authorId="0">
      <text>
        <r>
          <rPr>
            <sz val="8"/>
            <rFont val="Tahoma"/>
            <family val="0"/>
          </rPr>
          <t>Formula failed to convert</t>
        </r>
      </text>
    </comment>
    <comment ref="DX392" authorId="0">
      <text>
        <r>
          <rPr>
            <sz val="8"/>
            <rFont val="Tahoma"/>
            <family val="0"/>
          </rPr>
          <t>Formula failed to convert</t>
        </r>
      </text>
    </comment>
    <comment ref="DX393" authorId="0">
      <text>
        <r>
          <rPr>
            <sz val="8"/>
            <rFont val="Tahoma"/>
            <family val="0"/>
          </rPr>
          <t>Formula failed to convert</t>
        </r>
      </text>
    </comment>
    <comment ref="DX394" authorId="0">
      <text>
        <r>
          <rPr>
            <sz val="8"/>
            <rFont val="Tahoma"/>
            <family val="0"/>
          </rPr>
          <t>Formula failed to convert</t>
        </r>
      </text>
    </comment>
    <comment ref="DX395" authorId="0">
      <text>
        <r>
          <rPr>
            <sz val="8"/>
            <rFont val="Tahoma"/>
            <family val="0"/>
          </rPr>
          <t>Formula failed to convert</t>
        </r>
      </text>
    </comment>
    <comment ref="DX396" authorId="0">
      <text>
        <r>
          <rPr>
            <sz val="8"/>
            <rFont val="Tahoma"/>
            <family val="0"/>
          </rPr>
          <t>Formula failed to convert</t>
        </r>
      </text>
    </comment>
    <comment ref="DX397" authorId="0">
      <text>
        <r>
          <rPr>
            <sz val="8"/>
            <rFont val="Tahoma"/>
            <family val="0"/>
          </rPr>
          <t>Formula failed to convert</t>
        </r>
      </text>
    </comment>
    <comment ref="DX398" authorId="0">
      <text>
        <r>
          <rPr>
            <sz val="8"/>
            <rFont val="Tahoma"/>
            <family val="0"/>
          </rPr>
          <t>Formula failed to convert</t>
        </r>
      </text>
    </comment>
    <comment ref="DX399" authorId="0">
      <text>
        <r>
          <rPr>
            <sz val="8"/>
            <rFont val="Tahoma"/>
            <family val="0"/>
          </rPr>
          <t>Formula failed to convert</t>
        </r>
      </text>
    </comment>
    <comment ref="DX400" authorId="0">
      <text>
        <r>
          <rPr>
            <sz val="8"/>
            <rFont val="Tahoma"/>
            <family val="0"/>
          </rPr>
          <t>Formula failed to convert</t>
        </r>
      </text>
    </comment>
    <comment ref="DX401" authorId="0">
      <text>
        <r>
          <rPr>
            <sz val="8"/>
            <rFont val="Tahoma"/>
            <family val="0"/>
          </rPr>
          <t>Formula failed to convert</t>
        </r>
      </text>
    </comment>
    <comment ref="DX402" authorId="0">
      <text>
        <r>
          <rPr>
            <sz val="8"/>
            <rFont val="Tahoma"/>
            <family val="0"/>
          </rPr>
          <t>Formula failed to convert</t>
        </r>
      </text>
    </comment>
    <comment ref="DX403" authorId="0">
      <text>
        <r>
          <rPr>
            <sz val="8"/>
            <rFont val="Tahoma"/>
            <family val="0"/>
          </rPr>
          <t>Formula failed to convert</t>
        </r>
      </text>
    </comment>
    <comment ref="DX404" authorId="0">
      <text>
        <r>
          <rPr>
            <sz val="8"/>
            <rFont val="Tahoma"/>
            <family val="0"/>
          </rPr>
          <t>Formula failed to convert</t>
        </r>
      </text>
    </comment>
    <comment ref="DX40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<sst xmlns="http://schemas.openxmlformats.org/spreadsheetml/2006/main" count="284" uniqueCount="175">
  <si>
    <t>OFFICE OF EMERGENCY TRANSPORTATION</t>
  </si>
  <si>
    <t>Enclosure 1</t>
  </si>
  <si>
    <t xml:space="preserve"> </t>
  </si>
  <si>
    <t>CIVIL RESERVE AIR FLEET (CRAF) MONTHLY ALLOCATIONS</t>
  </si>
  <si>
    <t>INTERNATIONAL LONG-RANGE PASSENGER</t>
  </si>
  <si>
    <t>ILP Segment</t>
  </si>
  <si>
    <t>AAL</t>
  </si>
  <si>
    <t>AMT</t>
  </si>
  <si>
    <t>COA</t>
  </si>
  <si>
    <t>DAL</t>
  </si>
  <si>
    <t>HAL</t>
  </si>
  <si>
    <t>NAO</t>
  </si>
  <si>
    <t>NWA</t>
  </si>
  <si>
    <t>UAL</t>
  </si>
  <si>
    <t>WOA</t>
  </si>
  <si>
    <t xml:space="preserve">       TOTAL</t>
  </si>
  <si>
    <t>SUMMARY</t>
  </si>
  <si>
    <t>Past</t>
  </si>
  <si>
    <t>Current</t>
  </si>
  <si>
    <t>Mo.</t>
  </si>
  <si>
    <t>DC-10-30</t>
  </si>
  <si>
    <t>Change</t>
  </si>
  <si>
    <t>ILP</t>
  </si>
  <si>
    <t>ILC</t>
  </si>
  <si>
    <t>B-747-200</t>
  </si>
  <si>
    <t>ISP</t>
  </si>
  <si>
    <t>B-747-400</t>
  </si>
  <si>
    <t>ISC</t>
  </si>
  <si>
    <t>B-767-200ER</t>
  </si>
  <si>
    <t>DOM</t>
  </si>
  <si>
    <t>B-767-300 Series</t>
  </si>
  <si>
    <t>AERO</t>
  </si>
  <si>
    <t>B-767-400</t>
  </si>
  <si>
    <t>TOTAL</t>
  </si>
  <si>
    <t>B-777-200</t>
  </si>
  <si>
    <t>L1011 Series</t>
  </si>
  <si>
    <t>MD-11</t>
  </si>
  <si>
    <t xml:space="preserve">   TOTAL</t>
  </si>
  <si>
    <t>ILC Segment</t>
  </si>
  <si>
    <t>ATN</t>
  </si>
  <si>
    <t>DHL</t>
  </si>
  <si>
    <t>EIA</t>
  </si>
  <si>
    <t>FDX</t>
  </si>
  <si>
    <t>GCO</t>
  </si>
  <si>
    <t>GTI</t>
  </si>
  <si>
    <t>PAC</t>
  </si>
  <si>
    <t>UPS</t>
  </si>
  <si>
    <t>DC-8-62 CB</t>
  </si>
  <si>
    <t>DC-10-10C/F</t>
  </si>
  <si>
    <t>DC-10-30F</t>
  </si>
  <si>
    <t>B-747-200F</t>
  </si>
  <si>
    <t>B-747-400F</t>
  </si>
  <si>
    <t>L-1011-200F</t>
  </si>
  <si>
    <t>ISP Segment</t>
  </si>
  <si>
    <t>ASA</t>
  </si>
  <si>
    <t>BSK</t>
  </si>
  <si>
    <t>SWI</t>
  </si>
  <si>
    <t>B-727-200/B</t>
  </si>
  <si>
    <t>B-737 Series</t>
  </si>
  <si>
    <t>MD-80 Series</t>
  </si>
  <si>
    <t>CARRIER LEGEND</t>
  </si>
  <si>
    <t>ISC Segment</t>
  </si>
  <si>
    <t>LYC</t>
  </si>
  <si>
    <t>L-100-30</t>
  </si>
  <si>
    <t>NAC - NORTHERN AIR CARCO</t>
  </si>
  <si>
    <t>NAO - NORTH AMERICAN AIRLINES</t>
  </si>
  <si>
    <t>NWA- NORTHWEST</t>
  </si>
  <si>
    <t>AAC Segment</t>
  </si>
  <si>
    <t>NAC</t>
  </si>
  <si>
    <t>COA -  CONTINENTAL</t>
  </si>
  <si>
    <t>PAC - POLAR AIR CARGO</t>
  </si>
  <si>
    <t xml:space="preserve">DHL -  DHL AIRWAYS </t>
  </si>
  <si>
    <t>SWA - SOUTHWEST</t>
  </si>
  <si>
    <t>FDX -  FEDERAL EXPRESS</t>
  </si>
  <si>
    <t xml:space="preserve">  </t>
  </si>
  <si>
    <t>DOM Segment</t>
  </si>
  <si>
    <t>AWE</t>
  </si>
  <si>
    <t>SWA</t>
  </si>
  <si>
    <t>UPS -  UNITED PARCEL</t>
  </si>
  <si>
    <t>A-319-100</t>
  </si>
  <si>
    <t>USA -  U.S. AIRWAYS</t>
  </si>
  <si>
    <t>A-320-200</t>
  </si>
  <si>
    <t>WOA - WORLD</t>
  </si>
  <si>
    <t>B-737-300</t>
  </si>
  <si>
    <t>AERO Segment</t>
  </si>
  <si>
    <t>USA</t>
  </si>
  <si>
    <t>B-767-300ER</t>
  </si>
  <si>
    <t xml:space="preserve">        ALASKA SEGMENT</t>
  </si>
  <si>
    <t>INTERNATIONAL LONG-RANGE PASSENGER SEGMENT</t>
  </si>
  <si>
    <t>---</t>
  </si>
  <si>
    <t xml:space="preserve">            AIRCRAFT TOTALS BY SEGMENT</t>
  </si>
  <si>
    <t>=</t>
  </si>
  <si>
    <t>|</t>
  </si>
  <si>
    <t>INTERNATIONAL LONG-RANGE CARGO</t>
  </si>
  <si>
    <t>INTERNATIONAL SHORT-RANGE</t>
  </si>
  <si>
    <t>DOMESTIC</t>
  </si>
  <si>
    <t>ALASKA</t>
  </si>
  <si>
    <t>GRAND TOTAL</t>
  </si>
  <si>
    <t>OAE</t>
  </si>
  <si>
    <t>MD-10/11F-CF</t>
  </si>
  <si>
    <t xml:space="preserve">B-747-100F </t>
  </si>
  <si>
    <t>B-747-300F</t>
  </si>
  <si>
    <t>ABX</t>
  </si>
  <si>
    <t>APW</t>
  </si>
  <si>
    <t>CCP</t>
  </si>
  <si>
    <t>B-727-200F</t>
  </si>
  <si>
    <t>DC-9-33F</t>
  </si>
  <si>
    <t>A-330 Series</t>
  </si>
  <si>
    <t>INTERNATIONAL LONG-RANGE PASSENGER (ILP)</t>
  </si>
  <si>
    <t>INTERNATIONAL LONG-RANGE CARGO (ILC)</t>
  </si>
  <si>
    <t>INTERNATIONAL SHORT-RANGE PASSENGER (ISP)</t>
  </si>
  <si>
    <t>INTERNATIONAL SHORT-RANGE CARGO (ISC)</t>
  </si>
  <si>
    <t>NATIONAL- DOMESTIC (DOM)</t>
  </si>
  <si>
    <t>NATIONAL-ALASKA (AAC)</t>
  </si>
  <si>
    <t>AEROMEDICAL (AERO)</t>
  </si>
  <si>
    <t>DAL -  DELTA AIRLINES</t>
  </si>
  <si>
    <t>GCO -  GEMINI AIR CARGO</t>
  </si>
  <si>
    <t>HAL -  HAWAIIAN AIRLINES</t>
  </si>
  <si>
    <t>LYC -  LYNDEN AIR CARGO</t>
  </si>
  <si>
    <t xml:space="preserve">AAL  -  AMERICAN AIRLINES </t>
  </si>
  <si>
    <t xml:space="preserve">BSK  -  MIAMI AIR INT'L. </t>
  </si>
  <si>
    <t>CCP  -  CHAMPION AIR</t>
  </si>
  <si>
    <t>APW -  ARROW AIR</t>
  </si>
  <si>
    <t>ASA  -  ALASKA AIRLINES</t>
  </si>
  <si>
    <t>SWG</t>
  </si>
  <si>
    <t>DC-8-70F Series</t>
  </si>
  <si>
    <t>SOO</t>
  </si>
  <si>
    <t>**= CARRIER DROPPED OUT</t>
  </si>
  <si>
    <t>A-300-B4F</t>
  </si>
  <si>
    <t xml:space="preserve">SOO - SOUTHERN AIR </t>
  </si>
  <si>
    <t>B-757 Series</t>
  </si>
  <si>
    <t>ACC</t>
  </si>
  <si>
    <t>RYN</t>
  </si>
  <si>
    <t xml:space="preserve">RYN - RYAN INTNL AIRLINES </t>
  </si>
  <si>
    <t>DC-6 Series</t>
  </si>
  <si>
    <t xml:space="preserve">UAL - UNITED AIRLINES </t>
  </si>
  <si>
    <t xml:space="preserve">GTI  -  ATLAS AIR </t>
  </si>
  <si>
    <t>ATN  - AIR TRANSPORT INTL</t>
  </si>
  <si>
    <t>CKS  -  KALITTA AIR</t>
  </si>
  <si>
    <t>SCX</t>
  </si>
  <si>
    <t>DC-8-63 F</t>
  </si>
  <si>
    <t>XNA</t>
  </si>
  <si>
    <t>SCX - SUN COUNTRY AIRLINES</t>
  </si>
  <si>
    <t>NEW CARRIER in BOLD</t>
  </si>
  <si>
    <t xml:space="preserve">XNA - EXPRESS.NET </t>
  </si>
  <si>
    <t>ABX -  ABX AIR</t>
  </si>
  <si>
    <t>AMT-  ATA AIRLINES</t>
  </si>
  <si>
    <t>EIA  -  EVERGREEN</t>
  </si>
  <si>
    <t>GWY - USA 3000 AIRLINES</t>
  </si>
  <si>
    <t>CKS</t>
  </si>
  <si>
    <t>B-767-200SF</t>
  </si>
  <si>
    <t>B-757-200</t>
  </si>
  <si>
    <t>GWY</t>
  </si>
  <si>
    <t>FFT  -  FRONTIER AIRLINES</t>
  </si>
  <si>
    <t>FFT</t>
  </si>
  <si>
    <t>MEP</t>
  </si>
  <si>
    <t>MEP- MIDWEST AIRLINES</t>
  </si>
  <si>
    <t>AWE -  AMERICA WEST AIRLINES</t>
  </si>
  <si>
    <t>SWI -  SUNWORLD INTERNATIONAL</t>
  </si>
  <si>
    <t>U.S. DOT, Office of the Secretary of Transportation</t>
  </si>
  <si>
    <t>OAE-OMNI AIR INTERNATIONAL</t>
  </si>
  <si>
    <t>TRS</t>
  </si>
  <si>
    <t>B-767-400ER</t>
  </si>
  <si>
    <t>A-300 Series</t>
  </si>
  <si>
    <t>JBU- JET BLUE</t>
  </si>
  <si>
    <t>JBU</t>
  </si>
  <si>
    <t>B-727-100F</t>
  </si>
  <si>
    <t>A-319</t>
  </si>
  <si>
    <t>MUA</t>
  </si>
  <si>
    <t>MUA-MURRAY AIR</t>
  </si>
  <si>
    <t>March</t>
  </si>
  <si>
    <t xml:space="preserve">April </t>
  </si>
  <si>
    <t>April</t>
  </si>
  <si>
    <t>SWG - SPIRIT AIRLINES **</t>
  </si>
  <si>
    <t>B767-200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</si>
</sst>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7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7"/>
      <name val="Arial"/>
      <family val="0"/>
    </font>
    <font>
      <u val="single"/>
      <sz val="5.4"/>
      <color indexed="12"/>
      <name val="Arial"/>
      <family val="0"/>
    </font>
    <font>
      <u val="single"/>
      <sz val="5.4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fill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left"/>
    </xf>
    <xf numFmtId="0" fontId="6" fillId="0" borderId="12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7" fontId="2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2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3" fillId="0" borderId="16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2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J802"/>
  <sheetViews>
    <sheetView tabSelected="1" defaultGridColor="0" zoomScale="75" zoomScaleNormal="75" colorId="22" workbookViewId="0" topLeftCell="A28">
      <selection activeCell="F47" sqref="F47"/>
    </sheetView>
  </sheetViews>
  <sheetFormatPr defaultColWidth="10" defaultRowHeight="9.75"/>
  <cols>
    <col min="1" max="1" width="28.3984375" style="0" customWidth="1"/>
    <col min="2" max="2" width="12.3984375" style="0" customWidth="1"/>
    <col min="3" max="3" width="7.796875" style="0" customWidth="1"/>
    <col min="4" max="4" width="8.19921875" style="0" customWidth="1"/>
    <col min="5" max="5" width="7.59765625" style="0" customWidth="1"/>
    <col min="6" max="7" width="7.796875" style="0" customWidth="1"/>
    <col min="8" max="8" width="8" style="0" customWidth="1"/>
    <col min="9" max="9" width="10" style="0" customWidth="1"/>
    <col min="10" max="10" width="7.796875" style="0" customWidth="1"/>
    <col min="11" max="11" width="9.3984375" style="0" customWidth="1"/>
    <col min="12" max="12" width="8" style="0" customWidth="1"/>
    <col min="13" max="13" width="9" style="0" customWidth="1"/>
    <col min="14" max="14" width="11.59765625" style="0" customWidth="1"/>
    <col min="15" max="15" width="7.59765625" style="0" customWidth="1"/>
    <col min="16" max="16" width="25.3984375" style="0" customWidth="1"/>
    <col min="17" max="17" width="9.3984375" style="0" customWidth="1"/>
    <col min="18" max="18" width="10.59765625" style="0" customWidth="1"/>
    <col min="19" max="19" width="8.3984375" style="0" customWidth="1"/>
    <col min="20" max="20" width="26.796875" style="0" customWidth="1"/>
    <col min="21" max="22" width="8" style="0" customWidth="1"/>
    <col min="23" max="23" width="8.19921875" style="0" customWidth="1"/>
    <col min="24" max="24" width="9" style="0" customWidth="1"/>
    <col min="25" max="25" width="9.19921875" style="0" customWidth="1"/>
    <col min="26" max="26" width="20.59765625" style="0" customWidth="1"/>
    <col min="27" max="27" width="9.19921875" style="0" customWidth="1"/>
    <col min="28" max="28" width="9.59765625" style="0" customWidth="1"/>
    <col min="29" max="29" width="13.19921875" style="0" customWidth="1"/>
    <col min="30" max="30" width="11.59765625" style="0" customWidth="1"/>
    <col min="31" max="31" width="13.59765625" style="0" customWidth="1"/>
    <col min="32" max="32" width="12.3984375" style="0" customWidth="1"/>
    <col min="33" max="33" width="14.3984375" style="0" customWidth="1"/>
    <col min="34" max="34" width="12.796875" style="0" customWidth="1"/>
    <col min="35" max="77" width="9.19921875" style="0" customWidth="1"/>
    <col min="86" max="86" width="13" style="0" customWidth="1"/>
    <col min="87" max="90" width="5" style="0" customWidth="1"/>
    <col min="91" max="91" width="7" style="0" customWidth="1"/>
    <col min="112" max="112" width="16" style="0" customWidth="1"/>
    <col min="113" max="126" width="5" style="0" customWidth="1"/>
    <col min="127" max="127" width="16" style="0" customWidth="1"/>
    <col min="128" max="128" width="7" style="0" customWidth="1"/>
    <col min="139" max="139" width="16" style="0" customWidth="1"/>
    <col min="140" max="152" width="5" style="0" customWidth="1"/>
    <col min="153" max="153" width="16" style="0" customWidth="1"/>
    <col min="154" max="154" width="7" style="0" customWidth="1"/>
    <col min="166" max="166" width="11" style="0" customWidth="1"/>
    <col min="167" max="171" width="5" style="0" customWidth="1"/>
    <col min="172" max="172" width="7" style="0" customWidth="1"/>
    <col min="193" max="193" width="11" style="0" customWidth="1"/>
    <col min="194" max="195" width="5" style="0" customWidth="1"/>
    <col min="196" max="196" width="7" style="0" customWidth="1"/>
  </cols>
  <sheetData>
    <row r="1" spans="1:238" ht="18.75">
      <c r="A1" s="86" t="s">
        <v>171</v>
      </c>
      <c r="B1" s="2"/>
      <c r="C1" s="2"/>
      <c r="D1" s="2"/>
      <c r="E1" s="2"/>
      <c r="F1" s="2"/>
      <c r="G1" s="2"/>
      <c r="H1" s="2"/>
      <c r="I1" s="2"/>
      <c r="K1" s="2"/>
      <c r="L1" s="7" t="s">
        <v>0</v>
      </c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4"/>
      <c r="Z1" s="5"/>
      <c r="AA1" s="5"/>
      <c r="AB1" s="3" t="s">
        <v>1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ht="18.75">
      <c r="A2" s="58"/>
      <c r="B2" s="2"/>
      <c r="C2" s="2"/>
      <c r="D2" s="2"/>
      <c r="E2" s="2"/>
      <c r="F2" s="2"/>
      <c r="G2" s="2"/>
      <c r="H2" s="2"/>
      <c r="I2" s="2"/>
      <c r="J2" s="2"/>
      <c r="K2" s="48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 ht="15.75">
      <c r="A3" s="2" t="s">
        <v>2</v>
      </c>
      <c r="B3" s="2"/>
      <c r="C3" s="2"/>
      <c r="D3" s="2"/>
      <c r="E3" s="2"/>
      <c r="F3" s="2"/>
      <c r="G3" s="2"/>
      <c r="H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15.75">
      <c r="A4" s="2" t="s">
        <v>108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Q4" s="2" t="s">
        <v>110</v>
      </c>
      <c r="R4" s="2"/>
      <c r="S4" s="2"/>
      <c r="T4" s="2"/>
      <c r="U4" s="2"/>
      <c r="V4" s="29"/>
      <c r="W4" s="2"/>
      <c r="X4" s="2"/>
      <c r="Y4" s="2"/>
      <c r="Z4" s="4"/>
      <c r="AA4" s="6"/>
      <c r="AB4" s="6"/>
      <c r="AC4" s="6"/>
      <c r="AD4" s="6"/>
      <c r="AE4" s="6"/>
      <c r="AF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44" ht="16.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98</v>
      </c>
      <c r="J5" s="51" t="s">
        <v>132</v>
      </c>
      <c r="K5" s="10" t="s">
        <v>13</v>
      </c>
      <c r="L5" s="49" t="s">
        <v>85</v>
      </c>
      <c r="M5" s="49" t="s">
        <v>14</v>
      </c>
      <c r="N5" s="13" t="s">
        <v>15</v>
      </c>
      <c r="P5" s="24" t="s">
        <v>53</v>
      </c>
      <c r="Q5" s="14" t="s">
        <v>6</v>
      </c>
      <c r="R5" s="10" t="s">
        <v>54</v>
      </c>
      <c r="S5" s="10" t="s">
        <v>7</v>
      </c>
      <c r="T5" s="10" t="s">
        <v>55</v>
      </c>
      <c r="U5" s="49" t="s">
        <v>104</v>
      </c>
      <c r="V5" s="49" t="s">
        <v>8</v>
      </c>
      <c r="W5" s="60" t="s">
        <v>9</v>
      </c>
      <c r="X5" s="10" t="s">
        <v>152</v>
      </c>
      <c r="Y5" s="11" t="s">
        <v>165</v>
      </c>
      <c r="Z5" s="11" t="s">
        <v>132</v>
      </c>
      <c r="AA5" s="49" t="s">
        <v>139</v>
      </c>
      <c r="AB5" s="49" t="s">
        <v>124</v>
      </c>
      <c r="AC5" s="11" t="s">
        <v>56</v>
      </c>
      <c r="AD5" s="11" t="s">
        <v>13</v>
      </c>
      <c r="AE5" s="30" t="s">
        <v>33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5.75">
      <c r="A6" s="53" t="s">
        <v>163</v>
      </c>
      <c r="B6" s="49">
        <f>5+5+4+4+4+4+4+4</f>
        <v>34</v>
      </c>
      <c r="C6" s="49"/>
      <c r="D6" s="49"/>
      <c r="E6" s="49"/>
      <c r="F6" s="49"/>
      <c r="G6" s="49"/>
      <c r="H6" s="49"/>
      <c r="I6" s="60"/>
      <c r="J6" s="49"/>
      <c r="K6" s="49"/>
      <c r="L6" s="49">
        <v>9</v>
      </c>
      <c r="M6" s="49"/>
      <c r="N6" s="11">
        <f aca="true" t="shared" si="0" ref="N6:N18">SUM(B6:M6)</f>
        <v>43</v>
      </c>
      <c r="P6" s="12" t="s">
        <v>167</v>
      </c>
      <c r="Q6" s="14"/>
      <c r="R6" s="10"/>
      <c r="S6" s="10"/>
      <c r="T6" s="10"/>
      <c r="U6" s="49"/>
      <c r="V6" s="49"/>
      <c r="W6" s="60"/>
      <c r="X6" s="10"/>
      <c r="Y6" s="11"/>
      <c r="Z6" s="11"/>
      <c r="AA6" s="49"/>
      <c r="AB6" s="49"/>
      <c r="AC6" s="11"/>
      <c r="AD6" s="69"/>
      <c r="AE6" s="112">
        <f aca="true" t="shared" si="1" ref="AE6:AE12">SUM(Q6:AD6)</f>
        <v>0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15.75">
      <c r="A7" s="53" t="s">
        <v>107</v>
      </c>
      <c r="B7" s="49"/>
      <c r="C7" s="49"/>
      <c r="D7" s="49"/>
      <c r="E7" s="49"/>
      <c r="F7" s="49"/>
      <c r="G7" s="49"/>
      <c r="H7" s="49">
        <f>20+6</f>
        <v>26</v>
      </c>
      <c r="I7" s="60"/>
      <c r="J7" s="49"/>
      <c r="K7" s="49"/>
      <c r="L7" s="49"/>
      <c r="M7" s="49"/>
      <c r="N7" s="11">
        <f t="shared" si="0"/>
        <v>26</v>
      </c>
      <c r="P7" s="12" t="s">
        <v>81</v>
      </c>
      <c r="Q7" s="14"/>
      <c r="R7" s="10"/>
      <c r="S7" s="10"/>
      <c r="T7" s="10"/>
      <c r="U7" s="49"/>
      <c r="V7" s="49"/>
      <c r="W7" s="60"/>
      <c r="X7" s="10"/>
      <c r="Y7" s="11">
        <f>3+3+3+3+3+3+3</f>
        <v>21</v>
      </c>
      <c r="Z7" s="11"/>
      <c r="AA7" s="49"/>
      <c r="AB7" s="49"/>
      <c r="AC7" s="11"/>
      <c r="AD7" s="69"/>
      <c r="AE7" s="112">
        <f t="shared" si="1"/>
        <v>21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244" ht="15.75">
      <c r="A8" s="12" t="s">
        <v>20</v>
      </c>
      <c r="B8" s="10"/>
      <c r="C8" s="10"/>
      <c r="D8" s="10"/>
      <c r="E8" s="10"/>
      <c r="F8" s="10"/>
      <c r="G8" s="10"/>
      <c r="H8" s="10"/>
      <c r="I8" s="10">
        <f>8+2-1</f>
        <v>9</v>
      </c>
      <c r="J8" s="49"/>
      <c r="K8" s="10"/>
      <c r="L8" s="49"/>
      <c r="M8" s="49">
        <v>1</v>
      </c>
      <c r="N8" s="11">
        <f t="shared" si="0"/>
        <v>10</v>
      </c>
      <c r="P8" s="12" t="s">
        <v>57</v>
      </c>
      <c r="Q8" s="14"/>
      <c r="R8" s="10"/>
      <c r="S8" s="10"/>
      <c r="T8" s="10"/>
      <c r="U8" s="49">
        <f>3+3+2</f>
        <v>8</v>
      </c>
      <c r="V8" s="49"/>
      <c r="W8" s="60"/>
      <c r="X8" s="10"/>
      <c r="Y8" s="11"/>
      <c r="Z8" s="11"/>
      <c r="AA8" s="49"/>
      <c r="AB8" s="49"/>
      <c r="AC8" s="11"/>
      <c r="AD8" s="69"/>
      <c r="AE8" s="11">
        <f t="shared" si="1"/>
        <v>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</row>
    <row r="9" spans="1:244" ht="15.75">
      <c r="A9" s="12" t="s">
        <v>24</v>
      </c>
      <c r="B9" s="10"/>
      <c r="C9" s="10"/>
      <c r="D9" s="10"/>
      <c r="E9" s="10"/>
      <c r="F9" s="10"/>
      <c r="G9" s="10"/>
      <c r="H9" s="11">
        <v>3</v>
      </c>
      <c r="I9" s="10"/>
      <c r="J9" s="49"/>
      <c r="K9" s="10"/>
      <c r="L9" s="49"/>
      <c r="M9" s="49"/>
      <c r="N9" s="11">
        <f t="shared" si="0"/>
        <v>3</v>
      </c>
      <c r="P9" s="12" t="s">
        <v>58</v>
      </c>
      <c r="Q9" s="14"/>
      <c r="R9" s="10">
        <f>7+10+9+8+6+12</f>
        <v>52</v>
      </c>
      <c r="S9" s="10">
        <f>4+4+4</f>
        <v>12</v>
      </c>
      <c r="T9" s="10">
        <f>3+3</f>
        <v>6</v>
      </c>
      <c r="U9" s="49"/>
      <c r="V9" s="49"/>
      <c r="W9" s="60"/>
      <c r="X9" s="10"/>
      <c r="Y9" s="11"/>
      <c r="Z9" s="11"/>
      <c r="AA9" s="49">
        <f>2+2</f>
        <v>4</v>
      </c>
      <c r="AB9" s="49"/>
      <c r="AC9" s="11"/>
      <c r="AD9" s="69"/>
      <c r="AE9" s="11">
        <f t="shared" si="1"/>
        <v>74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243" ht="15.75">
      <c r="A10" s="12" t="s">
        <v>26</v>
      </c>
      <c r="B10" s="10"/>
      <c r="C10" s="10"/>
      <c r="D10" s="10"/>
      <c r="E10" s="10"/>
      <c r="F10" s="10"/>
      <c r="G10" s="10"/>
      <c r="H10" s="11">
        <v>16</v>
      </c>
      <c r="I10" s="10"/>
      <c r="J10" s="49"/>
      <c r="K10" s="10">
        <f>10+10+10</f>
        <v>30</v>
      </c>
      <c r="L10" s="49"/>
      <c r="M10" s="49"/>
      <c r="N10" s="11">
        <f t="shared" si="0"/>
        <v>46</v>
      </c>
      <c r="P10" s="51" t="s">
        <v>151</v>
      </c>
      <c r="Q10" s="50"/>
      <c r="R10" s="10"/>
      <c r="S10" s="10">
        <f>6+6+4</f>
        <v>16</v>
      </c>
      <c r="T10" s="10"/>
      <c r="U10" s="49"/>
      <c r="V10" s="49"/>
      <c r="W10" s="60">
        <f>12+12+12+12+12+13</f>
        <v>73</v>
      </c>
      <c r="X10" s="10"/>
      <c r="Y10" s="10"/>
      <c r="Z10" s="10"/>
      <c r="AA10" s="49"/>
      <c r="AB10" s="49"/>
      <c r="AC10" s="10"/>
      <c r="AD10" s="68"/>
      <c r="AE10" s="11">
        <f t="shared" si="1"/>
        <v>89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</row>
    <row r="11" spans="1:240" ht="15.75">
      <c r="A11" s="12" t="s">
        <v>130</v>
      </c>
      <c r="B11" s="10">
        <f>18+18+17+17+17+17+19</f>
        <v>123</v>
      </c>
      <c r="C11" s="68">
        <v>10</v>
      </c>
      <c r="D11" s="10">
        <f>8+8+8+8+9+7</f>
        <v>48</v>
      </c>
      <c r="E11" s="10"/>
      <c r="F11" s="10"/>
      <c r="G11" s="10">
        <v>5</v>
      </c>
      <c r="H11" s="11"/>
      <c r="I11" s="10"/>
      <c r="J11" s="49">
        <v>2</v>
      </c>
      <c r="K11" s="10">
        <f>11+11+11+11+10+10+10+10</f>
        <v>84</v>
      </c>
      <c r="L11" s="49"/>
      <c r="M11" s="49"/>
      <c r="N11" s="11">
        <f t="shared" si="0"/>
        <v>272</v>
      </c>
      <c r="P11" s="12" t="s">
        <v>59</v>
      </c>
      <c r="Q11" s="14">
        <f>7+7+7+7+7+7+8</f>
        <v>50</v>
      </c>
      <c r="R11" s="10">
        <f>7+8</f>
        <v>15</v>
      </c>
      <c r="S11" s="10"/>
      <c r="T11" s="10"/>
      <c r="U11" s="49"/>
      <c r="V11" s="49"/>
      <c r="W11" s="60"/>
      <c r="X11" s="10"/>
      <c r="Y11" s="10"/>
      <c r="Z11" s="10"/>
      <c r="AA11" s="49"/>
      <c r="AB11" s="49"/>
      <c r="AC11" s="10"/>
      <c r="AD11" s="68"/>
      <c r="AE11" s="11">
        <f t="shared" si="1"/>
        <v>65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1:238" ht="15.75">
      <c r="A12" s="19" t="s">
        <v>28</v>
      </c>
      <c r="B12" s="20">
        <v>71</v>
      </c>
      <c r="C12" s="74"/>
      <c r="D12" s="20">
        <f>10+4</f>
        <v>14</v>
      </c>
      <c r="E12" s="20"/>
      <c r="F12" s="20"/>
      <c r="G12" s="20">
        <v>4</v>
      </c>
      <c r="H12" s="21"/>
      <c r="I12" s="20">
        <v>2</v>
      </c>
      <c r="J12" s="49"/>
      <c r="K12" s="20"/>
      <c r="L12" s="49">
        <v>1</v>
      </c>
      <c r="M12" s="49"/>
      <c r="N12" s="11">
        <f t="shared" si="0"/>
        <v>92</v>
      </c>
      <c r="P12" s="96" t="s">
        <v>37</v>
      </c>
      <c r="Q12" s="97">
        <f>SUM(Q6:Q11)</f>
        <v>50</v>
      </c>
      <c r="R12" s="97">
        <f aca="true" t="shared" si="2" ref="R12:AC12">SUM(R6:R11)</f>
        <v>67</v>
      </c>
      <c r="S12" s="97">
        <f t="shared" si="2"/>
        <v>28</v>
      </c>
      <c r="T12" s="97">
        <f t="shared" si="2"/>
        <v>6</v>
      </c>
      <c r="U12" s="97">
        <f t="shared" si="2"/>
        <v>8</v>
      </c>
      <c r="V12" s="97">
        <f t="shared" si="2"/>
        <v>0</v>
      </c>
      <c r="W12" s="97">
        <f t="shared" si="2"/>
        <v>73</v>
      </c>
      <c r="X12" s="97">
        <f t="shared" si="2"/>
        <v>0</v>
      </c>
      <c r="Y12" s="97">
        <f t="shared" si="2"/>
        <v>21</v>
      </c>
      <c r="Z12" s="97">
        <f t="shared" si="2"/>
        <v>0</v>
      </c>
      <c r="AA12" s="97">
        <f t="shared" si="2"/>
        <v>4</v>
      </c>
      <c r="AB12" s="97">
        <f t="shared" si="2"/>
        <v>0</v>
      </c>
      <c r="AC12" s="97">
        <f t="shared" si="2"/>
        <v>0</v>
      </c>
      <c r="AD12" s="97">
        <v>13</v>
      </c>
      <c r="AE12" s="11">
        <f t="shared" si="1"/>
        <v>270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</row>
    <row r="13" spans="1:239" ht="15.75">
      <c r="A13" s="12" t="s">
        <v>30</v>
      </c>
      <c r="B13" s="10"/>
      <c r="C13" s="68"/>
      <c r="D13" s="10"/>
      <c r="E13" s="10">
        <f>7+8+8+6</f>
        <v>29</v>
      </c>
      <c r="F13" s="10">
        <f>3+2+2</f>
        <v>7</v>
      </c>
      <c r="G13" s="10">
        <v>1</v>
      </c>
      <c r="H13" s="11"/>
      <c r="I13" s="10"/>
      <c r="J13" s="49"/>
      <c r="K13" s="10">
        <f>5+5+5+4+4+4+4+4-12</f>
        <v>23</v>
      </c>
      <c r="L13" s="49"/>
      <c r="M13" s="49"/>
      <c r="N13" s="11">
        <f t="shared" si="0"/>
        <v>60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</row>
    <row r="14" spans="1:239" ht="15.75">
      <c r="A14" s="22" t="s">
        <v>32</v>
      </c>
      <c r="B14" s="23"/>
      <c r="C14" s="23"/>
      <c r="D14" s="23"/>
      <c r="E14" s="23">
        <f>8+8+5</f>
        <v>21</v>
      </c>
      <c r="F14" s="23"/>
      <c r="G14" s="23"/>
      <c r="H14" s="23"/>
      <c r="I14" s="23"/>
      <c r="J14" s="49"/>
      <c r="K14" s="23"/>
      <c r="L14" s="49"/>
      <c r="M14" s="49"/>
      <c r="N14" s="11">
        <f t="shared" si="0"/>
        <v>21</v>
      </c>
      <c r="T14" s="2" t="s">
        <v>111</v>
      </c>
      <c r="U14" s="2"/>
      <c r="V14" s="2"/>
      <c r="W14" s="2"/>
      <c r="Y14" s="2"/>
      <c r="Z14" s="4"/>
      <c r="AA14" s="5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</row>
    <row r="15" spans="1:240" ht="15.75">
      <c r="A15" s="12" t="s">
        <v>34</v>
      </c>
      <c r="B15" s="68">
        <f>12+12+12+11</f>
        <v>47</v>
      </c>
      <c r="C15" s="10"/>
      <c r="D15" s="10"/>
      <c r="E15" s="10">
        <v>8</v>
      </c>
      <c r="F15" s="10"/>
      <c r="G15" s="10"/>
      <c r="H15" s="11"/>
      <c r="I15" s="10"/>
      <c r="J15" s="49"/>
      <c r="K15" s="10">
        <v>52</v>
      </c>
      <c r="L15" s="49"/>
      <c r="M15" s="49"/>
      <c r="N15" s="11">
        <f t="shared" si="0"/>
        <v>107</v>
      </c>
      <c r="T15" s="24" t="s">
        <v>61</v>
      </c>
      <c r="U15" s="12" t="s">
        <v>102</v>
      </c>
      <c r="V15" s="11" t="s">
        <v>40</v>
      </c>
      <c r="W15" s="49" t="s">
        <v>41</v>
      </c>
      <c r="X15" s="11" t="s">
        <v>62</v>
      </c>
      <c r="Y15" s="11" t="s">
        <v>68</v>
      </c>
      <c r="Z15" s="11" t="s">
        <v>141</v>
      </c>
      <c r="AA15" s="36" t="s">
        <v>33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1:240" ht="15.75">
      <c r="A16" s="12" t="s">
        <v>35</v>
      </c>
      <c r="B16" s="10"/>
      <c r="C16" s="10">
        <v>4</v>
      </c>
      <c r="D16" s="10"/>
      <c r="E16" s="10"/>
      <c r="F16" s="10"/>
      <c r="G16" s="10"/>
      <c r="H16" s="11"/>
      <c r="I16" s="10"/>
      <c r="J16" s="49"/>
      <c r="K16" s="10"/>
      <c r="L16" s="49"/>
      <c r="M16" s="49"/>
      <c r="N16" s="11">
        <f t="shared" si="0"/>
        <v>4</v>
      </c>
      <c r="T16" s="51" t="s">
        <v>128</v>
      </c>
      <c r="U16" s="51"/>
      <c r="V16" s="49">
        <f>3+3+3</f>
        <v>9</v>
      </c>
      <c r="W16" s="51"/>
      <c r="X16" s="51"/>
      <c r="Y16" s="51"/>
      <c r="Z16" s="49"/>
      <c r="AA16" s="49">
        <f>SUM(U16:Z16)</f>
        <v>9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1:240" ht="15.75">
      <c r="A17" s="12" t="s">
        <v>36</v>
      </c>
      <c r="B17" s="10"/>
      <c r="C17" s="10"/>
      <c r="D17" s="10"/>
      <c r="E17" s="10"/>
      <c r="F17" s="10"/>
      <c r="G17" s="10"/>
      <c r="H17" s="11"/>
      <c r="I17" s="10"/>
      <c r="J17" s="49"/>
      <c r="K17" s="10"/>
      <c r="L17" s="49"/>
      <c r="M17" s="49">
        <v>6</v>
      </c>
      <c r="N17" s="11">
        <f t="shared" si="0"/>
        <v>6</v>
      </c>
      <c r="T17" s="51" t="s">
        <v>166</v>
      </c>
      <c r="U17" s="51"/>
      <c r="V17" s="49"/>
      <c r="W17" s="49"/>
      <c r="X17" s="49"/>
      <c r="Y17" s="49"/>
      <c r="Z17" s="49"/>
      <c r="AA17" s="49">
        <f aca="true" t="shared" si="3" ref="AA17:AA22">SUM(U17:Z17)</f>
        <v>0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1:241" s="102" customFormat="1" ht="15.75">
      <c r="A18" s="96" t="s">
        <v>37</v>
      </c>
      <c r="B18" s="92">
        <f aca="true" t="shared" si="4" ref="B18:M18">SUM(B6:B17)</f>
        <v>275</v>
      </c>
      <c r="C18" s="92">
        <f t="shared" si="4"/>
        <v>14</v>
      </c>
      <c r="D18" s="92">
        <f t="shared" si="4"/>
        <v>62</v>
      </c>
      <c r="E18" s="92">
        <f t="shared" si="4"/>
        <v>58</v>
      </c>
      <c r="F18" s="92">
        <f t="shared" si="4"/>
        <v>7</v>
      </c>
      <c r="G18" s="92">
        <f t="shared" si="4"/>
        <v>10</v>
      </c>
      <c r="H18" s="92">
        <f t="shared" si="4"/>
        <v>45</v>
      </c>
      <c r="I18" s="92">
        <f t="shared" si="4"/>
        <v>11</v>
      </c>
      <c r="J18" s="92">
        <f t="shared" si="4"/>
        <v>2</v>
      </c>
      <c r="K18" s="92">
        <f t="shared" si="4"/>
        <v>189</v>
      </c>
      <c r="L18" s="92">
        <f t="shared" si="4"/>
        <v>10</v>
      </c>
      <c r="M18" s="92">
        <f t="shared" si="4"/>
        <v>7</v>
      </c>
      <c r="N18" s="97">
        <f t="shared" si="0"/>
        <v>690</v>
      </c>
      <c r="P18" s="106"/>
      <c r="T18" s="51" t="s">
        <v>105</v>
      </c>
      <c r="U18" s="51"/>
      <c r="V18" s="49"/>
      <c r="W18" s="49"/>
      <c r="X18" s="49"/>
      <c r="Y18" s="49">
        <v>1</v>
      </c>
      <c r="Z18" s="49"/>
      <c r="AA18" s="49">
        <f t="shared" si="3"/>
        <v>1</v>
      </c>
      <c r="AB18"/>
      <c r="AD18"/>
      <c r="AE18"/>
      <c r="AF18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</row>
    <row r="19" spans="1:240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T19" s="51" t="s">
        <v>174</v>
      </c>
      <c r="U19" s="51">
        <v>1</v>
      </c>
      <c r="V19" s="49"/>
      <c r="W19" s="49"/>
      <c r="X19" s="49"/>
      <c r="Y19" s="49"/>
      <c r="Z19" s="49"/>
      <c r="AA19" s="49">
        <f t="shared" si="3"/>
        <v>1</v>
      </c>
      <c r="AC19" s="102"/>
      <c r="AF19" s="102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1:239" ht="15.75">
      <c r="A20" s="2" t="s">
        <v>109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T20" s="51" t="s">
        <v>106</v>
      </c>
      <c r="U20" s="51"/>
      <c r="V20" s="49"/>
      <c r="W20" s="49"/>
      <c r="X20" s="49"/>
      <c r="Y20" s="49"/>
      <c r="Z20" s="49"/>
      <c r="AA20" s="49">
        <f t="shared" si="3"/>
        <v>0</v>
      </c>
      <c r="AB20" s="102"/>
      <c r="AD20" s="102"/>
      <c r="AE20" s="102"/>
      <c r="AG20" s="6"/>
      <c r="AH20" s="6"/>
      <c r="AI20" s="6"/>
      <c r="AJ20" s="6"/>
      <c r="AK20" s="6"/>
      <c r="AL20" s="6"/>
      <c r="AM20" s="6"/>
      <c r="AN20" s="6"/>
      <c r="AO20" s="6"/>
      <c r="AP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</row>
    <row r="21" spans="1:239" ht="15.75">
      <c r="A21" s="32" t="s">
        <v>38</v>
      </c>
      <c r="B21" s="49" t="s">
        <v>102</v>
      </c>
      <c r="C21" s="49" t="s">
        <v>103</v>
      </c>
      <c r="D21" s="10" t="s">
        <v>39</v>
      </c>
      <c r="E21" s="10" t="s">
        <v>149</v>
      </c>
      <c r="F21" s="10" t="s">
        <v>9</v>
      </c>
      <c r="G21" s="10" t="s">
        <v>40</v>
      </c>
      <c r="H21" s="10" t="s">
        <v>41</v>
      </c>
      <c r="I21" s="11" t="s">
        <v>42</v>
      </c>
      <c r="J21" s="12" t="s">
        <v>43</v>
      </c>
      <c r="K21" s="27" t="s">
        <v>44</v>
      </c>
      <c r="L21" s="10" t="s">
        <v>168</v>
      </c>
      <c r="M21" s="10" t="s">
        <v>12</v>
      </c>
      <c r="N21" s="11" t="s">
        <v>45</v>
      </c>
      <c r="O21" s="49" t="s">
        <v>126</v>
      </c>
      <c r="P21" s="11" t="s">
        <v>46</v>
      </c>
      <c r="Q21" s="11" t="s">
        <v>14</v>
      </c>
      <c r="R21" s="13" t="s">
        <v>15</v>
      </c>
      <c r="T21" s="70" t="s">
        <v>63</v>
      </c>
      <c r="U21" s="70"/>
      <c r="V21" s="69"/>
      <c r="W21" s="72"/>
      <c r="X21" s="69">
        <v>1</v>
      </c>
      <c r="Y21" s="69"/>
      <c r="Z21" s="69"/>
      <c r="AA21" s="49">
        <f t="shared" si="3"/>
        <v>1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</row>
    <row r="22" spans="1:241" ht="15.75">
      <c r="A22" s="14" t="s">
        <v>47</v>
      </c>
      <c r="B22" s="49"/>
      <c r="C22" s="49"/>
      <c r="D22" s="10">
        <v>3</v>
      </c>
      <c r="E22" s="10"/>
      <c r="F22" s="10"/>
      <c r="G22" s="11"/>
      <c r="H22" s="10"/>
      <c r="I22" s="11"/>
      <c r="J22" s="12"/>
      <c r="K22" s="27"/>
      <c r="L22" s="10"/>
      <c r="M22" s="10"/>
      <c r="N22" s="11"/>
      <c r="O22" s="49"/>
      <c r="P22" s="11"/>
      <c r="Q22" s="11"/>
      <c r="R22" s="73">
        <f aca="true" t="shared" si="5" ref="R22:R34">SUM(B22:Q22)</f>
        <v>3</v>
      </c>
      <c r="T22" s="64" t="s">
        <v>37</v>
      </c>
      <c r="U22" s="26">
        <f>SUM(U16:U21)</f>
        <v>1</v>
      </c>
      <c r="V22" s="26">
        <f>SUM(V16:V21)</f>
        <v>9</v>
      </c>
      <c r="W22" s="26">
        <f>SUM(W16:W21)</f>
        <v>0</v>
      </c>
      <c r="X22" s="26">
        <f>SUM(X16:X21)</f>
        <v>1</v>
      </c>
      <c r="Y22" s="26">
        <f>SUM(Y16:Y21)</f>
        <v>1</v>
      </c>
      <c r="Z22" s="26">
        <f>SUM(Z16:Z21)</f>
        <v>0</v>
      </c>
      <c r="AA22" s="49">
        <f t="shared" si="3"/>
        <v>12</v>
      </c>
      <c r="AH22" s="2"/>
      <c r="AI22" s="6"/>
      <c r="AJ22" s="6"/>
      <c r="AK22" s="6"/>
      <c r="AL22" s="6"/>
      <c r="AM22" s="6"/>
      <c r="AN22" s="6"/>
      <c r="AO22" s="6"/>
      <c r="AP22" s="6"/>
      <c r="AQ22" s="6"/>
      <c r="AR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</row>
    <row r="23" spans="1:241" ht="15.75">
      <c r="A23" s="14" t="s">
        <v>140</v>
      </c>
      <c r="B23" s="49">
        <f>8-5</f>
        <v>3</v>
      </c>
      <c r="C23" s="49">
        <v>3</v>
      </c>
      <c r="D23" s="10"/>
      <c r="E23" s="10"/>
      <c r="F23" s="10"/>
      <c r="G23" s="10"/>
      <c r="H23" s="10"/>
      <c r="I23" s="11"/>
      <c r="J23" s="12"/>
      <c r="K23" s="27"/>
      <c r="L23" s="10">
        <v>1</v>
      </c>
      <c r="M23" s="10"/>
      <c r="N23" s="11"/>
      <c r="O23" s="49"/>
      <c r="P23" s="11"/>
      <c r="Q23" s="11"/>
      <c r="R23" s="73">
        <f t="shared" si="5"/>
        <v>7</v>
      </c>
      <c r="V23" s="6"/>
      <c r="W23" s="6"/>
      <c r="AD23" s="6"/>
      <c r="AE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</row>
    <row r="24" spans="1:241" ht="15.75">
      <c r="A24" s="31" t="s">
        <v>125</v>
      </c>
      <c r="B24" s="49"/>
      <c r="C24" s="49"/>
      <c r="D24" s="20">
        <f>8+5+2</f>
        <v>15</v>
      </c>
      <c r="E24" s="20"/>
      <c r="F24" s="20"/>
      <c r="G24" s="20">
        <v>8</v>
      </c>
      <c r="H24" s="20"/>
      <c r="I24" s="21"/>
      <c r="J24" s="19"/>
      <c r="K24" s="28"/>
      <c r="L24" s="20">
        <v>1</v>
      </c>
      <c r="M24" s="20"/>
      <c r="N24" s="11"/>
      <c r="O24" s="49"/>
      <c r="P24" s="11"/>
      <c r="Q24" s="11"/>
      <c r="R24" s="73">
        <f t="shared" si="5"/>
        <v>24</v>
      </c>
      <c r="T24" s="2" t="s">
        <v>112</v>
      </c>
      <c r="V24" s="2"/>
      <c r="W24" s="2"/>
      <c r="X24" s="2"/>
      <c r="Y24" s="2"/>
      <c r="Z24" s="2"/>
      <c r="AI24" s="6"/>
      <c r="AJ24" s="6"/>
      <c r="AK24" s="6"/>
      <c r="AL24" s="6"/>
      <c r="AM24" s="6"/>
      <c r="AN24" s="6"/>
      <c r="AO24" s="6"/>
      <c r="AP24" s="6"/>
      <c r="AQ24" s="6"/>
      <c r="AR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</row>
    <row r="25" spans="1:241" ht="18.75" customHeight="1">
      <c r="A25" s="14" t="s">
        <v>48</v>
      </c>
      <c r="B25" s="49"/>
      <c r="C25" s="49"/>
      <c r="D25" s="68"/>
      <c r="E25" s="68"/>
      <c r="F25" s="68"/>
      <c r="G25" s="68"/>
      <c r="H25" s="68"/>
      <c r="I25" s="69">
        <v>19</v>
      </c>
      <c r="J25" s="70"/>
      <c r="K25" s="71"/>
      <c r="L25" s="68"/>
      <c r="M25" s="68"/>
      <c r="N25" s="69"/>
      <c r="O25" s="72"/>
      <c r="P25" s="69"/>
      <c r="Q25" s="69"/>
      <c r="R25" s="73">
        <f t="shared" si="5"/>
        <v>19</v>
      </c>
      <c r="T25" s="35" t="s">
        <v>75</v>
      </c>
      <c r="U25" s="12" t="s">
        <v>76</v>
      </c>
      <c r="V25" s="12" t="s">
        <v>154</v>
      </c>
      <c r="W25" s="11" t="s">
        <v>155</v>
      </c>
      <c r="X25" s="11" t="s">
        <v>77</v>
      </c>
      <c r="Y25" s="11" t="s">
        <v>161</v>
      </c>
      <c r="Z25" s="7" t="s">
        <v>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</row>
    <row r="26" spans="1:241" ht="15.75">
      <c r="A26" s="14" t="s">
        <v>49</v>
      </c>
      <c r="B26" s="49"/>
      <c r="C26" s="49">
        <v>2</v>
      </c>
      <c r="D26" s="68"/>
      <c r="E26" s="68"/>
      <c r="F26" s="68"/>
      <c r="G26" s="68"/>
      <c r="H26" s="68"/>
      <c r="I26" s="68"/>
      <c r="J26" s="69">
        <v>7</v>
      </c>
      <c r="K26" s="71"/>
      <c r="L26" s="68"/>
      <c r="M26" s="68"/>
      <c r="N26" s="69"/>
      <c r="O26" s="72"/>
      <c r="P26" s="69"/>
      <c r="Q26" s="69">
        <v>2</v>
      </c>
      <c r="R26" s="73">
        <f t="shared" si="5"/>
        <v>11</v>
      </c>
      <c r="T26" s="12" t="s">
        <v>79</v>
      </c>
      <c r="U26" s="11"/>
      <c r="V26" s="11">
        <f>1+1+1</f>
        <v>3</v>
      </c>
      <c r="W26" s="12"/>
      <c r="X26" s="12"/>
      <c r="Y26" s="12"/>
      <c r="Z26" s="11">
        <f>SUM(U26:Y26)</f>
        <v>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</row>
    <row r="27" spans="1:239" ht="15.75">
      <c r="A27" s="31" t="s">
        <v>100</v>
      </c>
      <c r="B27" s="49"/>
      <c r="C27" s="49"/>
      <c r="D27" s="74"/>
      <c r="E27" s="74">
        <v>6</v>
      </c>
      <c r="F27" s="74"/>
      <c r="G27" s="74"/>
      <c r="H27" s="74">
        <v>5</v>
      </c>
      <c r="I27" s="75"/>
      <c r="J27" s="76"/>
      <c r="K27" s="77"/>
      <c r="L27" s="74"/>
      <c r="M27" s="74"/>
      <c r="N27" s="69"/>
      <c r="O27" s="72"/>
      <c r="P27" s="69">
        <f>3+3-4</f>
        <v>2</v>
      </c>
      <c r="Q27" s="69"/>
      <c r="R27" s="73">
        <f t="shared" si="5"/>
        <v>13</v>
      </c>
      <c r="T27" s="12" t="s">
        <v>81</v>
      </c>
      <c r="U27" s="11">
        <f>4+3</f>
        <v>7</v>
      </c>
      <c r="V27" s="11"/>
      <c r="W27" s="12"/>
      <c r="X27" s="12"/>
      <c r="Y27" s="12"/>
      <c r="Z27" s="11">
        <f>SUM(U27:Y27)</f>
        <v>7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</row>
    <row r="28" spans="1:239" ht="15.75">
      <c r="A28" s="14" t="s">
        <v>50</v>
      </c>
      <c r="B28" s="49"/>
      <c r="C28" s="49"/>
      <c r="D28" s="68"/>
      <c r="E28" s="68">
        <v>10</v>
      </c>
      <c r="F28" s="68"/>
      <c r="G28" s="68"/>
      <c r="H28" s="68">
        <v>8</v>
      </c>
      <c r="I28" s="69"/>
      <c r="J28" s="70"/>
      <c r="K28" s="71">
        <f>8+7-1</f>
        <v>14</v>
      </c>
      <c r="L28" s="68"/>
      <c r="M28" s="68">
        <f>7+7</f>
        <v>14</v>
      </c>
      <c r="N28" s="69"/>
      <c r="O28" s="72">
        <f>8+1</f>
        <v>9</v>
      </c>
      <c r="P28" s="69">
        <v>3</v>
      </c>
      <c r="Q28" s="69"/>
      <c r="R28" s="73">
        <f t="shared" si="5"/>
        <v>58</v>
      </c>
      <c r="T28" s="33" t="s">
        <v>83</v>
      </c>
      <c r="U28" s="11"/>
      <c r="V28" s="10"/>
      <c r="W28" s="10"/>
      <c r="X28" s="10">
        <f>6+6+6+5</f>
        <v>23</v>
      </c>
      <c r="Y28" s="10">
        <v>1</v>
      </c>
      <c r="Z28" s="11">
        <f>SUM(U28:Y28)</f>
        <v>24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238" ht="15.75">
      <c r="A29" s="50" t="s">
        <v>101</v>
      </c>
      <c r="B29" s="49"/>
      <c r="C29" s="49"/>
      <c r="D29" s="78"/>
      <c r="E29" s="78"/>
      <c r="F29" s="78"/>
      <c r="G29" s="78"/>
      <c r="H29" s="78"/>
      <c r="I29" s="78"/>
      <c r="J29" s="78"/>
      <c r="K29" s="79">
        <v>1</v>
      </c>
      <c r="L29" s="80"/>
      <c r="M29" s="80"/>
      <c r="N29" s="81"/>
      <c r="O29" s="72"/>
      <c r="P29" s="78"/>
      <c r="Q29" s="78"/>
      <c r="R29" s="73">
        <f t="shared" si="5"/>
        <v>1</v>
      </c>
      <c r="T29" s="51" t="s">
        <v>151</v>
      </c>
      <c r="U29" s="49">
        <v>1</v>
      </c>
      <c r="V29" s="49"/>
      <c r="W29" s="49"/>
      <c r="X29" s="49"/>
      <c r="Y29" s="49"/>
      <c r="Z29" s="11">
        <f>SUM(U29:Y29)</f>
        <v>1</v>
      </c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</row>
    <row r="30" spans="1:238" ht="15.75">
      <c r="A30" s="14" t="s">
        <v>51</v>
      </c>
      <c r="B30" s="49"/>
      <c r="C30" s="49"/>
      <c r="D30" s="82"/>
      <c r="E30" s="82"/>
      <c r="F30" s="82"/>
      <c r="G30" s="82"/>
      <c r="H30" s="82"/>
      <c r="I30" s="82"/>
      <c r="J30" s="70"/>
      <c r="K30" s="71">
        <v>11</v>
      </c>
      <c r="L30" s="82"/>
      <c r="M30" s="82"/>
      <c r="N30" s="69">
        <v>6</v>
      </c>
      <c r="O30" s="72"/>
      <c r="P30" s="70"/>
      <c r="Q30" s="70"/>
      <c r="R30" s="73">
        <f t="shared" si="5"/>
        <v>17</v>
      </c>
      <c r="T30" s="33" t="s">
        <v>59</v>
      </c>
      <c r="U30" s="55"/>
      <c r="V30" s="56"/>
      <c r="W30" s="56">
        <f>1+1</f>
        <v>2</v>
      </c>
      <c r="X30" s="56"/>
      <c r="Y30" s="56"/>
      <c r="Z30" s="11">
        <f>SUM(U30:Y30)</f>
        <v>2</v>
      </c>
      <c r="AE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</row>
    <row r="31" spans="1:238" ht="15.75">
      <c r="A31" s="14" t="s">
        <v>150</v>
      </c>
      <c r="B31" s="49">
        <f>8+2</f>
        <v>10</v>
      </c>
      <c r="C31" s="49"/>
      <c r="D31" s="82"/>
      <c r="E31" s="82"/>
      <c r="F31" s="82"/>
      <c r="G31" s="82"/>
      <c r="H31" s="82"/>
      <c r="I31" s="82"/>
      <c r="J31" s="70"/>
      <c r="K31" s="71"/>
      <c r="L31" s="82"/>
      <c r="M31" s="82"/>
      <c r="N31" s="69"/>
      <c r="O31" s="72"/>
      <c r="P31" s="70"/>
      <c r="Q31" s="70"/>
      <c r="R31" s="73">
        <f t="shared" si="5"/>
        <v>10</v>
      </c>
      <c r="T31" s="63" t="s">
        <v>37</v>
      </c>
      <c r="U31" s="26">
        <f>SUM(U26:U30)</f>
        <v>8</v>
      </c>
      <c r="V31" s="26">
        <f>SUM(V26:V30)</f>
        <v>3</v>
      </c>
      <c r="W31" s="25">
        <f>SUM(W28:W30)</f>
        <v>2</v>
      </c>
      <c r="X31" s="25">
        <f>SUM(X28:X30)</f>
        <v>23</v>
      </c>
      <c r="Y31" s="25">
        <f>SUM(Y28:Y30)</f>
        <v>1</v>
      </c>
      <c r="Z31" s="26">
        <f>SUM(Z26:Z30)</f>
        <v>37</v>
      </c>
      <c r="AD31" s="6"/>
      <c r="AE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</row>
    <row r="32" spans="1:238" ht="15.75">
      <c r="A32" s="14" t="s">
        <v>162</v>
      </c>
      <c r="B32" s="49"/>
      <c r="C32" s="49"/>
      <c r="D32" s="82"/>
      <c r="E32" s="82"/>
      <c r="F32" s="82"/>
      <c r="G32" s="82"/>
      <c r="H32" s="82"/>
      <c r="I32" s="82"/>
      <c r="J32" s="70"/>
      <c r="K32" s="71"/>
      <c r="L32" s="82"/>
      <c r="M32" s="82"/>
      <c r="N32" s="69"/>
      <c r="O32" s="72"/>
      <c r="P32" s="70"/>
      <c r="Q32" s="70"/>
      <c r="R32" s="73">
        <f t="shared" si="5"/>
        <v>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1:238" ht="15.75">
      <c r="A33" s="14" t="s">
        <v>52</v>
      </c>
      <c r="B33" s="49"/>
      <c r="C33" s="49"/>
      <c r="D33" s="68"/>
      <c r="E33" s="68"/>
      <c r="F33" s="68"/>
      <c r="G33" s="68"/>
      <c r="H33" s="68"/>
      <c r="I33" s="69"/>
      <c r="J33" s="70"/>
      <c r="K33" s="71"/>
      <c r="L33" s="68"/>
      <c r="M33" s="68"/>
      <c r="N33" s="69"/>
      <c r="O33" s="72"/>
      <c r="P33" s="69"/>
      <c r="Q33" s="69"/>
      <c r="R33" s="73">
        <f t="shared" si="5"/>
        <v>0</v>
      </c>
      <c r="T33" s="15" t="s">
        <v>113</v>
      </c>
      <c r="U33" s="2"/>
      <c r="V33" s="2"/>
      <c r="W33" s="2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1:238" s="102" customFormat="1" ht="18">
      <c r="A34" s="82" t="s">
        <v>99</v>
      </c>
      <c r="B34" s="72"/>
      <c r="C34" s="72"/>
      <c r="D34" s="68"/>
      <c r="E34" s="68"/>
      <c r="F34" s="68"/>
      <c r="G34" s="68"/>
      <c r="H34" s="68"/>
      <c r="I34" s="68">
        <f>15+14+14+14+6+18+18+19</f>
        <v>118</v>
      </c>
      <c r="J34" s="69">
        <v>4</v>
      </c>
      <c r="K34" s="71"/>
      <c r="L34" s="68"/>
      <c r="M34" s="68"/>
      <c r="N34" s="69"/>
      <c r="O34" s="72"/>
      <c r="P34" s="69">
        <f>5+4</f>
        <v>9</v>
      </c>
      <c r="Q34" s="69">
        <v>5</v>
      </c>
      <c r="R34" s="73">
        <f t="shared" si="5"/>
        <v>136</v>
      </c>
      <c r="T34" s="32" t="s">
        <v>67</v>
      </c>
      <c r="U34" s="10" t="s">
        <v>62</v>
      </c>
      <c r="V34" s="11" t="s">
        <v>68</v>
      </c>
      <c r="W34" s="30" t="s">
        <v>33</v>
      </c>
      <c r="X34"/>
      <c r="Y34"/>
      <c r="Z34"/>
      <c r="AA34" s="2" t="s">
        <v>114</v>
      </c>
      <c r="AB34" s="2"/>
      <c r="AC34"/>
      <c r="AD34" s="2"/>
      <c r="AE34"/>
      <c r="AG34" s="104"/>
      <c r="AH34" s="109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</row>
    <row r="35" spans="1:238" s="102" customFormat="1" ht="18">
      <c r="A35" s="101" t="s">
        <v>37</v>
      </c>
      <c r="B35" s="83">
        <f aca="true" t="shared" si="6" ref="B35:K35">SUM(B22:B34)</f>
        <v>13</v>
      </c>
      <c r="C35" s="83">
        <f t="shared" si="6"/>
        <v>5</v>
      </c>
      <c r="D35" s="83">
        <f t="shared" si="6"/>
        <v>18</v>
      </c>
      <c r="E35" s="83">
        <f t="shared" si="6"/>
        <v>16</v>
      </c>
      <c r="F35" s="83">
        <f t="shared" si="6"/>
        <v>0</v>
      </c>
      <c r="G35" s="83">
        <f t="shared" si="6"/>
        <v>8</v>
      </c>
      <c r="H35" s="83">
        <f t="shared" si="6"/>
        <v>13</v>
      </c>
      <c r="I35" s="83">
        <f t="shared" si="6"/>
        <v>137</v>
      </c>
      <c r="J35" s="83">
        <f t="shared" si="6"/>
        <v>11</v>
      </c>
      <c r="K35" s="83">
        <f t="shared" si="6"/>
        <v>26</v>
      </c>
      <c r="L35" s="83">
        <f aca="true" t="shared" si="7" ref="L35:R35">SUM(L22:L34)</f>
        <v>2</v>
      </c>
      <c r="M35" s="83">
        <f t="shared" si="7"/>
        <v>14</v>
      </c>
      <c r="N35" s="83">
        <f t="shared" si="7"/>
        <v>6</v>
      </c>
      <c r="O35" s="83">
        <f t="shared" si="7"/>
        <v>9</v>
      </c>
      <c r="P35" s="83">
        <f t="shared" si="7"/>
        <v>14</v>
      </c>
      <c r="Q35" s="83">
        <f t="shared" si="7"/>
        <v>7</v>
      </c>
      <c r="R35" s="83">
        <f t="shared" si="7"/>
        <v>299</v>
      </c>
      <c r="T35" s="33" t="s">
        <v>134</v>
      </c>
      <c r="U35" s="10"/>
      <c r="V35" s="11">
        <v>2</v>
      </c>
      <c r="W35" s="11">
        <f>SUM(U35:V35)</f>
        <v>2</v>
      </c>
      <c r="X35"/>
      <c r="Y35" s="35" t="s">
        <v>84</v>
      </c>
      <c r="Z35" s="35"/>
      <c r="AA35" s="11" t="s">
        <v>6</v>
      </c>
      <c r="AB35" s="11" t="s">
        <v>9</v>
      </c>
      <c r="AC35" s="11" t="s">
        <v>13</v>
      </c>
      <c r="AD35" s="11" t="s">
        <v>85</v>
      </c>
      <c r="AE35" s="36" t="s">
        <v>33</v>
      </c>
      <c r="AG35" s="104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</row>
    <row r="36" spans="1:237" s="102" customFormat="1" ht="18">
      <c r="A36" s="108"/>
      <c r="B36" s="108"/>
      <c r="I36" s="106"/>
      <c r="T36" s="33" t="s">
        <v>63</v>
      </c>
      <c r="U36" s="10">
        <v>2</v>
      </c>
      <c r="V36" s="34"/>
      <c r="W36" s="11">
        <f>SUM(U36:V36)</f>
        <v>2</v>
      </c>
      <c r="X36"/>
      <c r="Y36" s="14" t="s">
        <v>28</v>
      </c>
      <c r="Z36" s="14"/>
      <c r="AA36" s="95"/>
      <c r="AB36" s="11"/>
      <c r="AC36" s="10"/>
      <c r="AD36" s="10">
        <f>3+4+3-1</f>
        <v>9</v>
      </c>
      <c r="AE36" s="11">
        <f>SUM(AA36:AD36)</f>
        <v>9</v>
      </c>
      <c r="AG36" s="104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</row>
    <row r="37" spans="19:239" ht="18">
      <c r="S37" s="102"/>
      <c r="T37" s="107" t="s">
        <v>37</v>
      </c>
      <c r="U37" s="92">
        <f>SUM(U35:U36)</f>
        <v>2</v>
      </c>
      <c r="V37" s="97">
        <f>SUM(V35:V36)</f>
        <v>2</v>
      </c>
      <c r="W37" s="97">
        <f>SUM(W35:W36)</f>
        <v>4</v>
      </c>
      <c r="X37" s="102"/>
      <c r="Y37" s="14" t="s">
        <v>86</v>
      </c>
      <c r="Z37" s="14"/>
      <c r="AA37" s="51"/>
      <c r="AB37" s="11">
        <f>12+12+11-6</f>
        <v>29</v>
      </c>
      <c r="AC37" s="10">
        <v>12</v>
      </c>
      <c r="AD37" s="10"/>
      <c r="AE37" s="11">
        <f>SUM(AA37:AD37)</f>
        <v>41</v>
      </c>
      <c r="AG37" s="93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</row>
    <row r="38" spans="19:238" ht="18">
      <c r="S38" s="102"/>
      <c r="T38" s="102"/>
      <c r="U38" s="102"/>
      <c r="V38" s="108"/>
      <c r="W38" s="108"/>
      <c r="X38" s="109"/>
      <c r="Y38" s="114" t="s">
        <v>33</v>
      </c>
      <c r="Z38" s="115"/>
      <c r="AA38" s="25">
        <f>AA36+AA37</f>
        <v>0</v>
      </c>
      <c r="AB38" s="25">
        <f>AB36+AB37</f>
        <v>29</v>
      </c>
      <c r="AC38" s="25">
        <f>SUM(AC36:AC37)</f>
        <v>12</v>
      </c>
      <c r="AD38" s="25">
        <f>SUM(AD36:AD37)</f>
        <v>9</v>
      </c>
      <c r="AE38" s="26">
        <f>SUM(AE36:AE37)</f>
        <v>50</v>
      </c>
      <c r="AG38" s="93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3:238" ht="18">
      <c r="C39" s="2"/>
      <c r="W39" s="2"/>
      <c r="X39" s="2"/>
      <c r="Y39" s="5"/>
      <c r="Z39" s="5"/>
      <c r="AG39" s="93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1:238" ht="18.75" thickBot="1">
      <c r="A40" s="2"/>
      <c r="B40" s="2"/>
      <c r="C40" s="2"/>
      <c r="D40" s="44"/>
      <c r="E40" s="44"/>
      <c r="F40" s="44"/>
      <c r="G40" s="44"/>
      <c r="H40" s="45"/>
      <c r="I40" s="44"/>
      <c r="J40" s="44"/>
      <c r="K40" s="44"/>
      <c r="L40" s="44"/>
      <c r="M40" s="44"/>
      <c r="N40" s="45"/>
      <c r="O40" s="87" t="s">
        <v>60</v>
      </c>
      <c r="P40" s="45"/>
      <c r="Q40" s="45"/>
      <c r="R40" s="45"/>
      <c r="S40" s="45"/>
      <c r="T40" s="45"/>
      <c r="U40" s="45"/>
      <c r="V40" s="45"/>
      <c r="W40" s="44"/>
      <c r="X40" s="88"/>
      <c r="Y40" s="89"/>
      <c r="Z40" s="90"/>
      <c r="AB40" s="42"/>
      <c r="AG40" s="93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3:238" ht="18.75" thickTop="1">
      <c r="C41" s="47"/>
      <c r="D41" s="43" t="s">
        <v>119</v>
      </c>
      <c r="E41" s="38"/>
      <c r="F41" s="38"/>
      <c r="G41" s="38"/>
      <c r="H41" s="38"/>
      <c r="I41" s="38"/>
      <c r="J41" s="38"/>
      <c r="K41" s="38" t="s">
        <v>69</v>
      </c>
      <c r="L41" s="42"/>
      <c r="M41" s="42"/>
      <c r="N41" s="42"/>
      <c r="O41" s="42"/>
      <c r="P41" s="85" t="s">
        <v>164</v>
      </c>
      <c r="Q41" s="42"/>
      <c r="R41" s="42"/>
      <c r="S41" s="42"/>
      <c r="T41" s="42"/>
      <c r="U41" s="59" t="s">
        <v>142</v>
      </c>
      <c r="V41" s="42"/>
      <c r="W41" s="42"/>
      <c r="X41" s="42"/>
      <c r="Y41" s="84"/>
      <c r="Z41" s="99"/>
      <c r="AB41" s="2"/>
      <c r="AC41" s="2"/>
      <c r="AD41" s="61" t="s">
        <v>16</v>
      </c>
      <c r="AE41" s="2"/>
      <c r="AG41" s="94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3:238" ht="15.75" customHeight="1">
      <c r="C42" s="47"/>
      <c r="D42" s="59" t="s">
        <v>145</v>
      </c>
      <c r="E42" s="42"/>
      <c r="F42" s="42"/>
      <c r="G42" s="42"/>
      <c r="H42" s="42"/>
      <c r="I42" s="42"/>
      <c r="J42" s="38"/>
      <c r="K42" s="38" t="s">
        <v>115</v>
      </c>
      <c r="L42" s="38"/>
      <c r="M42" s="38"/>
      <c r="N42" s="38"/>
      <c r="O42" s="38"/>
      <c r="P42" s="38" t="s">
        <v>118</v>
      </c>
      <c r="Q42" s="111"/>
      <c r="R42" s="111"/>
      <c r="S42" s="111"/>
      <c r="T42" s="42"/>
      <c r="U42" s="59" t="s">
        <v>129</v>
      </c>
      <c r="V42" s="42"/>
      <c r="W42" s="42"/>
      <c r="X42" s="42"/>
      <c r="Y42" s="84"/>
      <c r="Z42" s="100"/>
      <c r="AC42" s="2" t="s">
        <v>17</v>
      </c>
      <c r="AD42" s="2"/>
      <c r="AE42" s="15" t="s">
        <v>18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3:238" ht="18.75">
      <c r="C43" s="47"/>
      <c r="D43" s="38" t="s">
        <v>146</v>
      </c>
      <c r="E43" s="38"/>
      <c r="F43" s="38"/>
      <c r="G43" s="38"/>
      <c r="H43" s="38"/>
      <c r="I43" s="38"/>
      <c r="J43" s="38"/>
      <c r="K43" s="38" t="s">
        <v>71</v>
      </c>
      <c r="L43" s="38"/>
      <c r="M43" s="38"/>
      <c r="N43" s="38"/>
      <c r="O43" s="38"/>
      <c r="P43" s="85" t="s">
        <v>156</v>
      </c>
      <c r="Q43" s="42"/>
      <c r="R43" s="42"/>
      <c r="S43" s="42"/>
      <c r="T43" s="42"/>
      <c r="U43" s="38" t="s">
        <v>72</v>
      </c>
      <c r="V43" s="42"/>
      <c r="W43" s="42"/>
      <c r="X43" s="42"/>
      <c r="Y43" s="42"/>
      <c r="Z43" s="42"/>
      <c r="AA43" s="52"/>
      <c r="AC43" s="16" t="s">
        <v>19</v>
      </c>
      <c r="AD43" s="2"/>
      <c r="AE43" s="16" t="s">
        <v>19</v>
      </c>
      <c r="AF43" s="113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3:238" ht="15.75" customHeight="1">
      <c r="C44" s="47"/>
      <c r="D44" s="65" t="s">
        <v>122</v>
      </c>
      <c r="E44" s="42"/>
      <c r="F44" s="42"/>
      <c r="G44" s="42"/>
      <c r="H44" s="42"/>
      <c r="I44" s="42"/>
      <c r="J44" s="38"/>
      <c r="K44" s="38" t="s">
        <v>147</v>
      </c>
      <c r="L44" s="39"/>
      <c r="M44" s="39"/>
      <c r="N44" s="39"/>
      <c r="O44" s="39"/>
      <c r="P44" s="85" t="s">
        <v>169</v>
      </c>
      <c r="T44" s="42"/>
      <c r="U44" s="59" t="s">
        <v>173</v>
      </c>
      <c r="V44" s="42"/>
      <c r="W44" s="42"/>
      <c r="X44" s="39"/>
      <c r="Y44" s="42"/>
      <c r="Z44" s="42"/>
      <c r="AA44" s="52"/>
      <c r="AC44" s="85" t="s">
        <v>170</v>
      </c>
      <c r="AD44" s="17" t="s">
        <v>21</v>
      </c>
      <c r="AE44" s="85" t="s">
        <v>172</v>
      </c>
      <c r="AF44" s="91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3:238" ht="15.75">
      <c r="C45" s="47"/>
      <c r="D45" s="38" t="s">
        <v>123</v>
      </c>
      <c r="E45" s="38"/>
      <c r="F45" s="38"/>
      <c r="G45" s="38"/>
      <c r="H45" s="38"/>
      <c r="I45" s="38"/>
      <c r="J45" s="38"/>
      <c r="K45" s="38" t="s">
        <v>73</v>
      </c>
      <c r="L45" s="39"/>
      <c r="M45" s="39"/>
      <c r="N45" s="39"/>
      <c r="P45" s="38" t="s">
        <v>64</v>
      </c>
      <c r="Q45" s="42"/>
      <c r="R45" s="42"/>
      <c r="S45" s="42"/>
      <c r="T45" s="42"/>
      <c r="U45" s="38" t="s">
        <v>158</v>
      </c>
      <c r="V45" s="42"/>
      <c r="W45" s="39"/>
      <c r="X45" s="38"/>
      <c r="Y45" s="42"/>
      <c r="Z45" s="42"/>
      <c r="AA45" s="52"/>
      <c r="AB45" s="103" t="s">
        <v>22</v>
      </c>
      <c r="AC45" s="72">
        <v>687</v>
      </c>
      <c r="AD45" s="69">
        <v>3</v>
      </c>
      <c r="AE45" s="72">
        <f>+AC45+AD45</f>
        <v>690</v>
      </c>
      <c r="AF45" s="91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3:238" ht="15.75">
      <c r="C46" s="47"/>
      <c r="D46" s="65" t="s">
        <v>137</v>
      </c>
      <c r="E46" s="38"/>
      <c r="F46" s="38"/>
      <c r="G46" s="38"/>
      <c r="H46" s="38"/>
      <c r="I46" s="38"/>
      <c r="J46" s="38"/>
      <c r="K46" s="38" t="s">
        <v>153</v>
      </c>
      <c r="L46" s="67"/>
      <c r="M46" s="67"/>
      <c r="N46" s="66"/>
      <c r="O46" s="38"/>
      <c r="P46" s="38" t="s">
        <v>65</v>
      </c>
      <c r="Q46" s="42"/>
      <c r="R46" s="42"/>
      <c r="S46" s="42"/>
      <c r="T46" s="42"/>
      <c r="U46" s="38" t="s">
        <v>135</v>
      </c>
      <c r="V46" s="42"/>
      <c r="W46" s="38"/>
      <c r="X46" s="38"/>
      <c r="Y46" s="39"/>
      <c r="Z46" s="42"/>
      <c r="AA46" s="52"/>
      <c r="AB46" s="103" t="s">
        <v>23</v>
      </c>
      <c r="AC46" s="72">
        <v>299</v>
      </c>
      <c r="AD46" s="69"/>
      <c r="AE46" s="72">
        <f aca="true" t="shared" si="8" ref="AE46:AE51">+AD46+AC46</f>
        <v>299</v>
      </c>
      <c r="AF46" s="91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1:238" ht="15.75">
      <c r="A47" s="6"/>
      <c r="B47" s="6"/>
      <c r="C47" s="47"/>
      <c r="D47" s="38" t="s">
        <v>157</v>
      </c>
      <c r="E47" s="38"/>
      <c r="F47" s="38"/>
      <c r="G47" s="38"/>
      <c r="H47" s="38"/>
      <c r="I47" s="38"/>
      <c r="J47" s="38"/>
      <c r="K47" s="38" t="s">
        <v>116</v>
      </c>
      <c r="L47" s="38"/>
      <c r="M47" s="38"/>
      <c r="N47" s="38"/>
      <c r="O47" s="38"/>
      <c r="P47" s="38" t="s">
        <v>66</v>
      </c>
      <c r="Q47" s="42"/>
      <c r="R47" s="42"/>
      <c r="S47" s="42"/>
      <c r="T47" s="42"/>
      <c r="U47" s="38" t="s">
        <v>78</v>
      </c>
      <c r="V47" s="42"/>
      <c r="W47" s="38"/>
      <c r="X47" s="38"/>
      <c r="Y47" s="38"/>
      <c r="Z47" s="62"/>
      <c r="AA47" s="52"/>
      <c r="AB47" s="103" t="s">
        <v>25</v>
      </c>
      <c r="AC47" s="72">
        <v>284</v>
      </c>
      <c r="AD47" s="69">
        <v>-14</v>
      </c>
      <c r="AE47" s="72">
        <f t="shared" si="8"/>
        <v>270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1:238" ht="18">
      <c r="A48" s="2"/>
      <c r="B48" s="2"/>
      <c r="C48" s="47"/>
      <c r="D48" s="38" t="s">
        <v>120</v>
      </c>
      <c r="E48" s="38"/>
      <c r="F48" s="38"/>
      <c r="G48" s="38"/>
      <c r="H48" s="38"/>
      <c r="I48" s="38"/>
      <c r="J48" s="38"/>
      <c r="K48" s="38" t="s">
        <v>136</v>
      </c>
      <c r="L48" s="38"/>
      <c r="M48" s="38"/>
      <c r="N48" s="38"/>
      <c r="O48" s="38"/>
      <c r="P48" s="65" t="s">
        <v>160</v>
      </c>
      <c r="T48" s="42"/>
      <c r="U48" s="38" t="s">
        <v>80</v>
      </c>
      <c r="V48" s="42"/>
      <c r="W48" s="38"/>
      <c r="X48" s="39"/>
      <c r="Y48" s="38"/>
      <c r="Z48" s="62"/>
      <c r="AA48" s="52"/>
      <c r="AB48" s="18" t="s">
        <v>27</v>
      </c>
      <c r="AC48" s="72">
        <v>11</v>
      </c>
      <c r="AD48" s="69">
        <v>1</v>
      </c>
      <c r="AE48" s="72">
        <f t="shared" si="8"/>
        <v>12</v>
      </c>
      <c r="AF48" s="93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3:238" ht="18">
      <c r="C49" s="47"/>
      <c r="D49" s="65" t="s">
        <v>121</v>
      </c>
      <c r="E49" s="42"/>
      <c r="F49" s="42"/>
      <c r="G49" s="42"/>
      <c r="H49" s="42"/>
      <c r="I49" s="38"/>
      <c r="J49" s="42"/>
      <c r="K49" s="38" t="s">
        <v>148</v>
      </c>
      <c r="L49" s="38"/>
      <c r="M49" s="38"/>
      <c r="N49" s="38"/>
      <c r="O49" s="38"/>
      <c r="P49" s="38" t="s">
        <v>70</v>
      </c>
      <c r="Q49" s="42"/>
      <c r="R49" s="42"/>
      <c r="S49" s="42"/>
      <c r="T49" s="42"/>
      <c r="U49" s="38" t="s">
        <v>82</v>
      </c>
      <c r="V49" s="42"/>
      <c r="W49" s="39"/>
      <c r="X49" s="39"/>
      <c r="Y49" s="38"/>
      <c r="Z49" s="62"/>
      <c r="AA49" s="52"/>
      <c r="AB49" s="57" t="s">
        <v>29</v>
      </c>
      <c r="AC49" s="72">
        <v>37</v>
      </c>
      <c r="AD49" s="69"/>
      <c r="AE49" s="72">
        <f t="shared" si="8"/>
        <v>37</v>
      </c>
      <c r="AF49" s="93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3:238" ht="18">
      <c r="C50" s="47"/>
      <c r="D50" s="59" t="s">
        <v>138</v>
      </c>
      <c r="E50" s="38"/>
      <c r="F50" s="38"/>
      <c r="G50" s="38"/>
      <c r="H50" s="38"/>
      <c r="I50" s="38"/>
      <c r="J50" s="38"/>
      <c r="K50" s="38" t="s">
        <v>117</v>
      </c>
      <c r="O50" s="38"/>
      <c r="P50" s="59" t="s">
        <v>133</v>
      </c>
      <c r="Q50" s="42"/>
      <c r="R50" s="42"/>
      <c r="S50" s="42"/>
      <c r="T50" s="84"/>
      <c r="U50" s="65" t="s">
        <v>144</v>
      </c>
      <c r="V50" s="42"/>
      <c r="W50" s="39"/>
      <c r="X50" s="39"/>
      <c r="Y50" s="39"/>
      <c r="Z50" s="62"/>
      <c r="AA50" s="52"/>
      <c r="AB50" s="57" t="s">
        <v>131</v>
      </c>
      <c r="AC50" s="72">
        <v>4</v>
      </c>
      <c r="AD50" s="69"/>
      <c r="AE50" s="72">
        <f t="shared" si="8"/>
        <v>4</v>
      </c>
      <c r="AF50" s="93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3:238" ht="18">
      <c r="C51" s="47"/>
      <c r="D51" s="42"/>
      <c r="E51" s="42"/>
      <c r="F51" s="38"/>
      <c r="G51" s="38"/>
      <c r="H51" s="38"/>
      <c r="I51" s="42"/>
      <c r="J51" s="42"/>
      <c r="K51" s="38"/>
      <c r="L51" s="39"/>
      <c r="M51" s="39"/>
      <c r="N51" s="39"/>
      <c r="O51" s="38"/>
      <c r="T51" s="42"/>
      <c r="U51" s="65"/>
      <c r="Y51" s="39"/>
      <c r="Z51" s="62"/>
      <c r="AA51" s="52"/>
      <c r="AB51" s="57" t="s">
        <v>31</v>
      </c>
      <c r="AC51" s="72">
        <v>50</v>
      </c>
      <c r="AD51" s="69"/>
      <c r="AE51" s="72">
        <f t="shared" si="8"/>
        <v>50</v>
      </c>
      <c r="AF51" s="93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3:238" ht="18.75" thickBot="1">
      <c r="C52" s="47"/>
      <c r="D52" s="45"/>
      <c r="E52" s="45"/>
      <c r="F52" s="45"/>
      <c r="G52" s="45"/>
      <c r="H52" s="45"/>
      <c r="I52" s="46"/>
      <c r="J52" s="45"/>
      <c r="K52" s="45"/>
      <c r="L52" s="45"/>
      <c r="M52" s="54" t="s">
        <v>143</v>
      </c>
      <c r="N52" s="44"/>
      <c r="O52" s="44"/>
      <c r="P52" s="45"/>
      <c r="Q52" s="45"/>
      <c r="R52" s="54" t="s">
        <v>127</v>
      </c>
      <c r="S52" s="45"/>
      <c r="T52" s="45"/>
      <c r="U52" s="45"/>
      <c r="V52" s="45"/>
      <c r="W52" s="46"/>
      <c r="X52" s="46"/>
      <c r="Y52" s="44"/>
      <c r="Z52" s="110"/>
      <c r="AA52" s="42"/>
      <c r="AB52" s="98" t="s">
        <v>33</v>
      </c>
      <c r="AC52" s="83">
        <v>1368</v>
      </c>
      <c r="AD52" s="83"/>
      <c r="AE52" s="83">
        <f>SUM(AE45:AE51)</f>
        <v>1362</v>
      </c>
      <c r="AF52" s="93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17:238" ht="18.75" thickTop="1">
      <c r="Q53" s="42"/>
      <c r="S53" s="42"/>
      <c r="T53" s="42"/>
      <c r="U53" s="42"/>
      <c r="V53" s="42"/>
      <c r="W53" s="38"/>
      <c r="X53" s="38"/>
      <c r="Y53" s="42"/>
      <c r="Z53" s="42"/>
      <c r="AA53" s="42"/>
      <c r="AF53" s="93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</row>
    <row r="54" spans="11:238" ht="15.75">
      <c r="K54" s="2"/>
      <c r="L54" s="30" t="s">
        <v>159</v>
      </c>
      <c r="R54" s="42"/>
      <c r="S54" s="42"/>
      <c r="T54" s="42"/>
      <c r="U54" s="42"/>
      <c r="V54" s="42"/>
      <c r="W54" s="38"/>
      <c r="X54" s="38"/>
      <c r="Y54" s="38"/>
      <c r="Z54" s="62"/>
      <c r="AA54" s="42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</row>
    <row r="55" spans="1:238" ht="15.75">
      <c r="A55" s="6"/>
      <c r="B55" s="6"/>
      <c r="J55" s="2"/>
      <c r="K55" s="2"/>
      <c r="L55" s="6"/>
      <c r="R55" s="42"/>
      <c r="S55" s="38"/>
      <c r="T55" s="42"/>
      <c r="U55" s="42"/>
      <c r="V55" s="42"/>
      <c r="W55" s="38"/>
      <c r="X55" s="38"/>
      <c r="Y55" s="38"/>
      <c r="Z55" s="62"/>
      <c r="AA55" s="42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</row>
    <row r="56" spans="3:238" ht="15.75">
      <c r="C56" s="6"/>
      <c r="J56" s="2"/>
      <c r="K56" s="2"/>
      <c r="L56" s="6"/>
      <c r="S56" s="38"/>
      <c r="T56" s="42"/>
      <c r="U56" s="42"/>
      <c r="V56" s="42"/>
      <c r="W56" s="38"/>
      <c r="X56" s="38"/>
      <c r="Y56" s="38"/>
      <c r="Z56" s="62"/>
      <c r="AA56" s="42"/>
      <c r="AB56" s="5"/>
      <c r="AC56" s="6"/>
      <c r="AD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</row>
    <row r="57" spans="4:238" ht="12.75">
      <c r="D57" s="40"/>
      <c r="E57" s="1"/>
      <c r="F57" s="1"/>
      <c r="G57" s="1"/>
      <c r="H57" s="1"/>
      <c r="I57" s="1"/>
      <c r="J57" s="1"/>
      <c r="K57" s="1"/>
      <c r="L57" s="1"/>
      <c r="M57" s="1"/>
      <c r="N57" s="1"/>
      <c r="O57" s="40"/>
      <c r="P57" s="40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15:238" ht="15.75">
      <c r="O58" s="38"/>
      <c r="P58" s="38"/>
      <c r="W58" s="6"/>
      <c r="X58" s="38"/>
      <c r="Y58" s="38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</row>
    <row r="59" spans="5:238" ht="15.75">
      <c r="E59" s="1"/>
      <c r="F59" s="2"/>
      <c r="G59" s="2"/>
      <c r="H59" s="2"/>
      <c r="I59" s="2"/>
      <c r="Y59" s="38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</row>
    <row r="60" spans="5:238" ht="15.75">
      <c r="E60" s="1"/>
      <c r="F60" s="2"/>
      <c r="G60" s="2"/>
      <c r="H60" s="2"/>
      <c r="I60" s="2"/>
      <c r="Y60" s="38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</row>
    <row r="61" spans="5:238" ht="15.75">
      <c r="E61" s="1"/>
      <c r="F61" s="2"/>
      <c r="G61" s="2"/>
      <c r="H61" s="2"/>
      <c r="I61" s="2"/>
      <c r="Y61" s="38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</row>
    <row r="62" spans="1:238" ht="15.75">
      <c r="A62" s="1"/>
      <c r="B62" s="41"/>
      <c r="E62" s="1"/>
      <c r="F62" s="2"/>
      <c r="G62" s="2"/>
      <c r="H62" s="2"/>
      <c r="I62" s="2"/>
      <c r="Y62" s="38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</row>
    <row r="63" spans="3:238" ht="15.75">
      <c r="C63" s="41"/>
      <c r="D63" s="1"/>
      <c r="E63" s="1"/>
      <c r="F63" s="2"/>
      <c r="G63" s="2"/>
      <c r="H63" s="2"/>
      <c r="I63" s="2"/>
      <c r="Q63" s="2"/>
      <c r="Y63" s="38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</row>
    <row r="64" spans="7:238" ht="15.75">
      <c r="G64" s="2"/>
      <c r="H64" s="2"/>
      <c r="Q64" s="2"/>
      <c r="Y64" s="40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</row>
    <row r="65" spans="7:238" ht="15.75">
      <c r="G65" s="2"/>
      <c r="H65" s="2"/>
      <c r="Q65" s="2"/>
      <c r="Y65" s="38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</row>
    <row r="66" spans="7:238" ht="15.75">
      <c r="G66" s="2"/>
      <c r="H66" s="2"/>
      <c r="Q66" s="2"/>
      <c r="X66" s="2"/>
      <c r="Y66" s="4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</row>
    <row r="67" spans="7:238" ht="15.75">
      <c r="G67" s="2"/>
      <c r="H67" s="2"/>
      <c r="Q67" s="2"/>
      <c r="W67" s="42"/>
      <c r="X67" s="38"/>
      <c r="Y67" s="4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 t="s">
        <v>74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  <row r="68" spans="7:238" ht="15.75">
      <c r="G68" s="2"/>
      <c r="H68" s="2"/>
      <c r="Q68" s="2"/>
      <c r="W68" s="42"/>
      <c r="X68" s="38"/>
      <c r="Y68" s="4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</row>
    <row r="69" spans="7:238" ht="15.75">
      <c r="G69" s="2"/>
      <c r="H69" s="2"/>
      <c r="Q69" s="2"/>
      <c r="W69" s="42"/>
      <c r="X69" s="38"/>
      <c r="Y69" s="4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</row>
    <row r="70" spans="7:238" ht="15.75">
      <c r="G70" s="2"/>
      <c r="H70" s="2"/>
      <c r="Q70" s="2"/>
      <c r="W70" s="42"/>
      <c r="X70" s="38"/>
      <c r="Y70" s="4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</row>
    <row r="71" spans="7:238" ht="15.75">
      <c r="G71" s="2"/>
      <c r="H71" s="2"/>
      <c r="Q71" s="2"/>
      <c r="W71" s="42"/>
      <c r="X71" s="38"/>
      <c r="Y71" s="4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</row>
    <row r="72" spans="7:238" ht="15.75">
      <c r="G72" s="2"/>
      <c r="I72" s="2"/>
      <c r="J72" s="6"/>
      <c r="K72" s="2"/>
      <c r="L72" s="2"/>
      <c r="M72" s="2"/>
      <c r="N72" s="2"/>
      <c r="O72" s="2"/>
      <c r="P72" s="2"/>
      <c r="Q72" s="2"/>
      <c r="W72" s="42"/>
      <c r="X72" s="38"/>
      <c r="Y72" s="4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</row>
    <row r="73" spans="1:238" ht="15.75">
      <c r="A73" s="1"/>
      <c r="B73" s="1"/>
      <c r="G73" s="2"/>
      <c r="H73" s="2"/>
      <c r="I73" s="2"/>
      <c r="J73" s="2"/>
      <c r="K73" s="6"/>
      <c r="L73" s="6"/>
      <c r="M73" s="6"/>
      <c r="N73" s="6"/>
      <c r="O73" s="6"/>
      <c r="P73" s="6"/>
      <c r="Q73" s="2"/>
      <c r="W73" s="42"/>
      <c r="X73" s="38"/>
      <c r="Y73" s="4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</row>
    <row r="74" spans="3:238" ht="15.75"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W74" s="42"/>
      <c r="X74" s="38"/>
      <c r="Y74" s="4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</row>
    <row r="75" spans="6:238" ht="20.25" customHeight="1"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W75" s="42"/>
      <c r="X75" s="38"/>
      <c r="Y75" s="4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</row>
    <row r="76" spans="6:238" ht="15.75"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V76" s="2"/>
      <c r="W76" s="38"/>
      <c r="X76" s="38"/>
      <c r="Y76" s="4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</row>
    <row r="77" spans="6:238" ht="12" customHeight="1"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V77" s="2"/>
      <c r="W77" s="38"/>
      <c r="X77" s="38"/>
      <c r="Y77" s="4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</row>
    <row r="78" spans="6:238" ht="15.75">
      <c r="F78" s="2"/>
      <c r="G78" s="2"/>
      <c r="H78" s="2"/>
      <c r="I78" s="6"/>
      <c r="J78" s="6"/>
      <c r="K78" s="6"/>
      <c r="L78" s="6"/>
      <c r="M78" s="6"/>
      <c r="N78" s="6"/>
      <c r="O78" s="6"/>
      <c r="P78" s="6"/>
      <c r="Q78" s="6"/>
      <c r="V78" s="2"/>
      <c r="W78" s="2"/>
      <c r="X78" s="2"/>
      <c r="Y78" s="4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</row>
    <row r="79" spans="1:238" ht="15.75">
      <c r="A79" s="2"/>
      <c r="B79" s="2"/>
      <c r="F79" s="2"/>
      <c r="G79" s="2"/>
      <c r="H79" s="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2"/>
      <c r="Y79" s="4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</row>
    <row r="80" spans="1:238" ht="15.75">
      <c r="A80" s="2"/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O80" s="2"/>
      <c r="P80" s="2"/>
      <c r="Q80" s="2"/>
      <c r="R80" s="6"/>
      <c r="S80" s="6"/>
      <c r="T80" s="6"/>
      <c r="U80" s="6"/>
      <c r="V80" s="6"/>
      <c r="W80" s="6"/>
      <c r="X80" s="2"/>
      <c r="Y80" s="4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</row>
    <row r="81" spans="1:238" ht="15.75">
      <c r="A81" s="6"/>
      <c r="B81" s="6"/>
      <c r="C81" s="2"/>
      <c r="D81" s="2"/>
      <c r="E81" s="2"/>
      <c r="F81" s="2"/>
      <c r="G81" s="2"/>
      <c r="H81" s="6"/>
      <c r="I81" s="2"/>
      <c r="J81" s="2"/>
      <c r="K81" s="2"/>
      <c r="L81" s="2"/>
      <c r="M81" s="2"/>
      <c r="N81" s="2"/>
      <c r="O81" s="2"/>
      <c r="P81" s="2"/>
      <c r="Q81" s="2"/>
      <c r="R81" s="6"/>
      <c r="S81" s="6"/>
      <c r="T81" s="6"/>
      <c r="U81" s="6"/>
      <c r="V81" s="6"/>
      <c r="W81" s="6"/>
      <c r="X81" s="2"/>
      <c r="Y81" s="4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</row>
    <row r="82" spans="3:238" ht="15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2"/>
      <c r="Y82" s="4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</row>
    <row r="83" spans="18:238" ht="15.75">
      <c r="R83" s="6"/>
      <c r="S83" s="6"/>
      <c r="T83" s="6"/>
      <c r="U83" s="6"/>
      <c r="V83" s="6"/>
      <c r="W83" s="6"/>
      <c r="X83" s="2"/>
      <c r="Y83" s="4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</row>
    <row r="84" spans="18:238" ht="15.75">
      <c r="R84" s="2"/>
      <c r="S84" s="2"/>
      <c r="T84" s="2"/>
      <c r="U84" s="2"/>
      <c r="V84" s="2"/>
      <c r="W84" s="2"/>
      <c r="X84" s="2"/>
      <c r="Y84" s="4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</row>
    <row r="85" spans="18:31" ht="15.75">
      <c r="R85" s="2"/>
      <c r="S85" s="2"/>
      <c r="T85" s="2"/>
      <c r="U85" s="2"/>
      <c r="V85" s="2"/>
      <c r="W85" s="2"/>
      <c r="X85" s="2"/>
      <c r="Y85" s="4"/>
      <c r="Z85" s="5"/>
      <c r="AA85" s="5"/>
      <c r="AB85" s="5"/>
      <c r="AC85" s="6"/>
      <c r="AD85" s="6"/>
      <c r="AE85" s="6"/>
    </row>
    <row r="86" spans="18:31" ht="15">
      <c r="R86" s="6"/>
      <c r="S86" s="6"/>
      <c r="T86" s="6"/>
      <c r="U86" s="6"/>
      <c r="V86" s="6"/>
      <c r="W86" s="6"/>
      <c r="X86" s="4"/>
      <c r="Y86" s="4"/>
      <c r="Z86" s="5"/>
      <c r="AA86" s="5"/>
      <c r="AB86" s="5"/>
      <c r="AC86" s="6"/>
      <c r="AD86" s="6"/>
      <c r="AE86" s="6"/>
    </row>
    <row r="87" ht="9.75">
      <c r="AE87" s="6"/>
    </row>
    <row r="89" ht="9.75">
      <c r="BG89" t="s">
        <v>87</v>
      </c>
    </row>
    <row r="192" ht="9.75">
      <c r="CX192" t="s">
        <v>33</v>
      </c>
    </row>
    <row r="193" ht="9.75">
      <c r="CX193" t="e">
        <v>#VALUE!</v>
      </c>
    </row>
    <row r="194" ht="9.75">
      <c r="CX194" t="e">
        <v>#VALUE!</v>
      </c>
    </row>
    <row r="195" ht="9.75">
      <c r="CX195" t="e">
        <v>#VALUE!</v>
      </c>
    </row>
    <row r="196" ht="9.75">
      <c r="CX196" t="e">
        <v>#VALUE!</v>
      </c>
    </row>
    <row r="197" ht="9.75">
      <c r="CX197" t="e">
        <f>SUM(CX193:CX196)</f>
        <v>#VALUE!</v>
      </c>
    </row>
    <row r="389" ht="9.75">
      <c r="DN389" t="s">
        <v>88</v>
      </c>
    </row>
    <row r="390" ht="9.75">
      <c r="DX390" t="s">
        <v>33</v>
      </c>
    </row>
    <row r="391" ht="9.75">
      <c r="DX391" t="e">
        <v>#VALUE!</v>
      </c>
    </row>
    <row r="392" ht="9.75">
      <c r="DX392" t="e">
        <v>#VALUE!</v>
      </c>
    </row>
    <row r="393" ht="9.75">
      <c r="DX393" t="e">
        <v>#VALUE!</v>
      </c>
    </row>
    <row r="394" ht="9.75">
      <c r="DX394" t="e">
        <v>#VALUE!</v>
      </c>
    </row>
    <row r="395" ht="9.75">
      <c r="DX395" t="e">
        <v>#VALUE!</v>
      </c>
    </row>
    <row r="396" ht="9.75">
      <c r="DX396" t="e">
        <v>#VALUE!</v>
      </c>
    </row>
    <row r="397" ht="9.75">
      <c r="DX397" t="e">
        <v>#VALUE!</v>
      </c>
    </row>
    <row r="398" ht="9.75">
      <c r="DX398" t="e">
        <v>#VALUE!</v>
      </c>
    </row>
    <row r="399" ht="9.75">
      <c r="DX399" t="e">
        <v>#VALUE!</v>
      </c>
    </row>
    <row r="400" ht="9.75">
      <c r="DX400" t="e">
        <v>#VALUE!</v>
      </c>
    </row>
    <row r="401" ht="9.75">
      <c r="DX401" t="e">
        <v>#VALUE!</v>
      </c>
    </row>
    <row r="402" ht="9">
      <c r="DX402" t="e">
        <v>#VALUE!</v>
      </c>
    </row>
    <row r="403" ht="9">
      <c r="DX403" t="e">
        <v>#VALUE!</v>
      </c>
    </row>
    <row r="404" ht="9">
      <c r="DX404" t="e">
        <v>#VALUE!</v>
      </c>
    </row>
    <row r="405" ht="9">
      <c r="DX405" t="e">
        <v>#VALUE!</v>
      </c>
    </row>
    <row r="406" ht="9">
      <c r="DX406" t="e">
        <f>SUM(DX391:DX405)</f>
        <v>#VALUE!</v>
      </c>
    </row>
    <row r="408" spans="113:126" ht="9">
      <c r="DI408" t="s">
        <v>89</v>
      </c>
      <c r="DJ408" t="s">
        <v>89</v>
      </c>
      <c r="DK408" t="s">
        <v>89</v>
      </c>
      <c r="DL408" t="s">
        <v>89</v>
      </c>
      <c r="DM408" t="s">
        <v>89</v>
      </c>
      <c r="DN408" t="s">
        <v>89</v>
      </c>
      <c r="DO408" t="s">
        <v>89</v>
      </c>
      <c r="DP408" t="s">
        <v>89</v>
      </c>
      <c r="DQ408" t="s">
        <v>89</v>
      </c>
      <c r="DR408" t="s">
        <v>89</v>
      </c>
      <c r="DS408" t="s">
        <v>89</v>
      </c>
      <c r="DT408" t="s">
        <v>89</v>
      </c>
      <c r="DU408" t="s">
        <v>89</v>
      </c>
      <c r="DV408" t="s">
        <v>89</v>
      </c>
    </row>
    <row r="789" ht="9">
      <c r="HL789" t="s">
        <v>90</v>
      </c>
    </row>
    <row r="790" spans="220:238" ht="9">
      <c r="HL790" s="37" t="s">
        <v>91</v>
      </c>
      <c r="HM790" s="37" t="s">
        <v>91</v>
      </c>
      <c r="HN790" s="37" t="s">
        <v>91</v>
      </c>
      <c r="HO790" s="37" t="s">
        <v>91</v>
      </c>
      <c r="HP790" s="37" t="s">
        <v>91</v>
      </c>
      <c r="HQ790" s="37" t="s">
        <v>91</v>
      </c>
      <c r="HR790" s="37" t="s">
        <v>91</v>
      </c>
      <c r="HS790" s="37" t="s">
        <v>91</v>
      </c>
      <c r="HT790" s="37" t="s">
        <v>91</v>
      </c>
      <c r="HU790" s="37" t="s">
        <v>91</v>
      </c>
      <c r="HV790" s="37" t="s">
        <v>91</v>
      </c>
      <c r="HW790" s="37" t="s">
        <v>91</v>
      </c>
      <c r="HX790" s="37" t="s">
        <v>91</v>
      </c>
      <c r="HY790" s="37" t="s">
        <v>91</v>
      </c>
      <c r="HZ790" s="37" t="s">
        <v>91</v>
      </c>
      <c r="IA790" s="37" t="s">
        <v>91</v>
      </c>
      <c r="IB790" s="37" t="s">
        <v>91</v>
      </c>
      <c r="IC790" s="37" t="s">
        <v>91</v>
      </c>
      <c r="ID790" s="37" t="s">
        <v>91</v>
      </c>
    </row>
    <row r="791" spans="220:238" ht="9">
      <c r="HL791" t="s">
        <v>92</v>
      </c>
      <c r="HM791" t="s">
        <v>4</v>
      </c>
      <c r="IC791" t="e">
        <f>DX406</f>
        <v>#VALUE!</v>
      </c>
      <c r="ID791" t="s">
        <v>92</v>
      </c>
    </row>
    <row r="792" spans="220:238" ht="9">
      <c r="HL792" t="s">
        <v>92</v>
      </c>
      <c r="ID792" t="s">
        <v>92</v>
      </c>
    </row>
    <row r="793" spans="220:238" ht="9">
      <c r="HL793" t="s">
        <v>92</v>
      </c>
      <c r="HM793" t="s">
        <v>93</v>
      </c>
      <c r="IC793">
        <f>R35</f>
        <v>299</v>
      </c>
      <c r="ID793" t="s">
        <v>92</v>
      </c>
    </row>
    <row r="794" spans="220:238" ht="9">
      <c r="HL794" t="s">
        <v>92</v>
      </c>
      <c r="ID794" t="s">
        <v>92</v>
      </c>
    </row>
    <row r="795" spans="220:238" ht="9">
      <c r="HL795" t="s">
        <v>92</v>
      </c>
      <c r="HM795" t="s">
        <v>94</v>
      </c>
      <c r="IC795">
        <f>AE11</f>
        <v>65</v>
      </c>
      <c r="ID795" t="s">
        <v>92</v>
      </c>
    </row>
    <row r="796" spans="220:238" ht="9">
      <c r="HL796" t="s">
        <v>92</v>
      </c>
      <c r="ID796" t="s">
        <v>92</v>
      </c>
    </row>
    <row r="797" spans="220:238" ht="9">
      <c r="HL797" t="s">
        <v>92</v>
      </c>
      <c r="HM797" t="s">
        <v>95</v>
      </c>
      <c r="IC797" t="e">
        <f>CX197</f>
        <v>#VALUE!</v>
      </c>
      <c r="ID797" t="s">
        <v>92</v>
      </c>
    </row>
    <row r="798" spans="220:238" ht="9">
      <c r="HL798" t="s">
        <v>92</v>
      </c>
      <c r="ID798" t="s">
        <v>92</v>
      </c>
    </row>
    <row r="799" spans="220:238" ht="9">
      <c r="HL799" t="s">
        <v>92</v>
      </c>
      <c r="HM799" t="s">
        <v>96</v>
      </c>
      <c r="IC799">
        <f>C63</f>
        <v>0</v>
      </c>
      <c r="ID799" t="s">
        <v>92</v>
      </c>
    </row>
    <row r="800" spans="220:238" ht="9">
      <c r="HL800" t="s">
        <v>92</v>
      </c>
      <c r="ID800" t="s">
        <v>92</v>
      </c>
    </row>
    <row r="801" spans="220:238" ht="9">
      <c r="HL801" t="s">
        <v>92</v>
      </c>
      <c r="HM801" t="s">
        <v>97</v>
      </c>
      <c r="IC801" t="e">
        <f>SUM(IC791:IC799)</f>
        <v>#VALUE!</v>
      </c>
      <c r="ID801" t="s">
        <v>92</v>
      </c>
    </row>
    <row r="802" spans="220:238" ht="9">
      <c r="HL802" s="37" t="s">
        <v>91</v>
      </c>
      <c r="HM802" s="37" t="s">
        <v>91</v>
      </c>
      <c r="HN802" s="37" t="s">
        <v>91</v>
      </c>
      <c r="HO802" s="37" t="s">
        <v>91</v>
      </c>
      <c r="HP802" s="37" t="s">
        <v>91</v>
      </c>
      <c r="HQ802" s="37" t="s">
        <v>91</v>
      </c>
      <c r="HR802" s="37" t="s">
        <v>91</v>
      </c>
      <c r="HS802" s="37" t="s">
        <v>91</v>
      </c>
      <c r="HT802" s="37" t="s">
        <v>91</v>
      </c>
      <c r="HU802" s="37" t="s">
        <v>91</v>
      </c>
      <c r="HV802" s="37" t="s">
        <v>91</v>
      </c>
      <c r="HW802" s="37" t="s">
        <v>91</v>
      </c>
      <c r="HX802" s="37" t="s">
        <v>91</v>
      </c>
      <c r="HY802" s="37" t="s">
        <v>91</v>
      </c>
      <c r="HZ802" s="37" t="s">
        <v>91</v>
      </c>
      <c r="IA802" s="37" t="s">
        <v>91</v>
      </c>
      <c r="IB802" s="37" t="s">
        <v>91</v>
      </c>
      <c r="IC802" s="37" t="s">
        <v>91</v>
      </c>
      <c r="ID802" s="37" t="s">
        <v>91</v>
      </c>
    </row>
  </sheetData>
  <mergeCells count="1">
    <mergeCell ref="Y38:Z38"/>
  </mergeCells>
  <printOptions/>
  <pageMargins left="0.18" right="0.16" top="1" bottom="0.19" header="0.59" footer="0.22"/>
  <pageSetup horizontalDpi="600" verticalDpi="600" orientation="landscape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EDWARDSH</dc:creator>
  <cp:keywords/>
  <dc:description/>
  <cp:lastModifiedBy>tom.sachs</cp:lastModifiedBy>
  <cp:lastPrinted>2007-05-08T22:23:10Z</cp:lastPrinted>
  <dcterms:created xsi:type="dcterms:W3CDTF">2001-11-14T17:20:33Z</dcterms:created>
  <dcterms:modified xsi:type="dcterms:W3CDTF">2007-05-08T22:23:20Z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972902401</vt:i4>
  </property>
  <property fmtid="{D5CDD505-2E9C-101B-9397-08002B2CF9AE}" pid="4" name="_EmailSubje">
    <vt:lpwstr>More CRAF files</vt:lpwstr>
  </property>
  <property fmtid="{D5CDD505-2E9C-101B-9397-08002B2CF9AE}" pid="5" name="_AuthorEma">
    <vt:lpwstr>Tom.Sachs@dot.gov</vt:lpwstr>
  </property>
  <property fmtid="{D5CDD505-2E9C-101B-9397-08002B2CF9AE}" pid="6" name="_AuthorEmailDisplayNa">
    <vt:lpwstr>Sachs, Tom &lt;OST&gt;</vt:lpwstr>
  </property>
</Properties>
</file>