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5" yWindow="65341" windowWidth="7665" windowHeight="7845" tabRatio="727" activeTab="0"/>
  </bookViews>
  <sheets>
    <sheet name="Furnace Calc" sheetId="1" r:id="rId1"/>
    <sheet name="Assumptions" sheetId="2" r:id="rId2"/>
  </sheets>
  <definedNames>
    <definedName name="_xlfn.AVERAGEIF" hidden="1">#NAME?</definedName>
    <definedName name="_xlnm.Print_Area" localSheetId="1">'Assumptions'!$C$1:$F$242</definedName>
    <definedName name="_xlnm.Print_Area" localSheetId="0">'Furnace Calc'!$A$1:$M$68</definedName>
    <definedName name="_xlnm.Print_Titles" localSheetId="1">'Assumptions'!$1:$3</definedName>
  </definedNames>
  <calcPr fullCalcOnLoad="1"/>
</workbook>
</file>

<file path=xl/sharedStrings.xml><?xml version="1.0" encoding="utf-8"?>
<sst xmlns="http://schemas.openxmlformats.org/spreadsheetml/2006/main" count="585" uniqueCount="348">
  <si>
    <t>Life Cycle Cost Estimate for</t>
  </si>
  <si>
    <t>Enter your own values in the gray boxes or use our default values.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</si>
  <si>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</si>
  <si>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</si>
  <si>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</si>
  <si>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</si>
  <si>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</si>
  <si>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</si>
  <si>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</si>
  <si>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</si>
  <si>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</si>
  <si>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</si>
  <si>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</si>
  <si>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</si>
  <si>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</si>
  <si>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</si>
  <si>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</si>
  <si>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</si>
  <si>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</si>
  <si>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</si>
  <si>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</si>
  <si>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</si>
  <si>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</si>
  <si>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</si>
  <si>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</si>
  <si>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</si>
  <si>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</si>
  <si>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</si>
  <si>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</si>
  <si>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</si>
  <si>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</si>
  <si>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</si>
  <si>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Labor time (hours)</t>
  </si>
  <si>
    <t>Carbon Dioxide Emissions Factors</t>
  </si>
  <si>
    <t>EPA 2004</t>
  </si>
  <si>
    <t>This energy savings calculator was developed by the U.S. EPA and U.S. DOE and is provided for estimating purposes only.  Actual energy savings may vary based on use and other factors.</t>
  </si>
  <si>
    <t>Maintenance costs</t>
  </si>
  <si>
    <t>Energy costs</t>
  </si>
  <si>
    <t>Use with programmable Thermostat (Yes/No)</t>
  </si>
  <si>
    <t>Yes</t>
  </si>
  <si>
    <t>No</t>
  </si>
  <si>
    <t>Operating costs (energy and maintenance)</t>
  </si>
  <si>
    <t>Annual Fuel Utilization Efficiency (AFUE)</t>
  </si>
  <si>
    <t>Btu/gal</t>
  </si>
  <si>
    <t>$/gal</t>
  </si>
  <si>
    <t>Life cycle energy saved (MMBtu)</t>
  </si>
  <si>
    <t>Btu/Therm</t>
  </si>
  <si>
    <t>Lifetime (Gas)</t>
  </si>
  <si>
    <t>Lifetime (Oil)</t>
  </si>
  <si>
    <t>Oil</t>
  </si>
  <si>
    <t>Gas</t>
  </si>
  <si>
    <t>Assumptions for Furnace</t>
  </si>
  <si>
    <t>LBNL 2004</t>
  </si>
  <si>
    <t>Btus per Gallon of #2 oil</t>
  </si>
  <si>
    <t>Btu per Therm of Gas</t>
  </si>
  <si>
    <r>
      <t>lbs CO</t>
    </r>
    <r>
      <rPr>
        <vertAlign val="subscript"/>
        <sz val="10"/>
        <rFont val="Univers"/>
        <family val="2"/>
      </rPr>
      <t>2</t>
    </r>
    <r>
      <rPr>
        <sz val="10"/>
        <rFont val="Univers"/>
        <family val="2"/>
      </rPr>
      <t>/MMBtu</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</si>
  <si>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</si>
  <si>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</si>
  <si>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r>
      <t>Annual CO</t>
    </r>
    <r>
      <rPr>
        <vertAlign val="subscript"/>
        <sz val="10"/>
        <rFont val="Univers"/>
        <family val="2"/>
      </rPr>
      <t>2</t>
    </r>
    <r>
      <rPr>
        <sz val="10"/>
        <rFont val="Univers"/>
        <family val="2"/>
      </rPr>
      <t xml:space="preserve"> emissions for "average" passenger car</t>
    </r>
  </si>
  <si>
    <t>$/therm</t>
  </si>
  <si>
    <t>For questions or comments, please send your email to: Escalcs@cadmusgroup.com</t>
  </si>
  <si>
    <t>Carbon Dioxide Equivalents</t>
  </si>
  <si>
    <t>Energy Conversions</t>
  </si>
  <si>
    <t>Lifetime of Selected Unit</t>
  </si>
  <si>
    <t>Assumption</t>
  </si>
  <si>
    <t>&lt;1940</t>
  </si>
  <si>
    <t>Construction Date</t>
  </si>
  <si>
    <t>Region</t>
  </si>
  <si>
    <t>New England</t>
  </si>
  <si>
    <t>W S Central</t>
  </si>
  <si>
    <t>South Atlantic</t>
  </si>
  <si>
    <t>Mid Atlantic</t>
  </si>
  <si>
    <t>E S Central</t>
  </si>
  <si>
    <t>E N Central</t>
  </si>
  <si>
    <t>Pacific</t>
  </si>
  <si>
    <t>W N Central</t>
  </si>
  <si>
    <t>Mountain</t>
  </si>
  <si>
    <t>What fuel do you use to heat your home?</t>
  </si>
  <si>
    <t>How large is your home? (in square feet)</t>
  </si>
  <si>
    <t>Include only heated space</t>
  </si>
  <si>
    <t>Table 1-Vintage Furnace Efficiency</t>
  </si>
  <si>
    <t>When was your existing furnace installed?</t>
  </si>
  <si>
    <t>Selected Value</t>
  </si>
  <si>
    <t>&lt;1960</t>
  </si>
  <si>
    <t>1960-1969</t>
  </si>
  <si>
    <t>1970-1974</t>
  </si>
  <si>
    <t>1975-1983</t>
  </si>
  <si>
    <t>1984-1987</t>
  </si>
  <si>
    <t>1988-1991</t>
  </si>
  <si>
    <t>&gt;1992</t>
  </si>
  <si>
    <t>See Table 1 (Cell H5)</t>
  </si>
  <si>
    <t>Selected</t>
  </si>
  <si>
    <t>When was your home built?</t>
  </si>
  <si>
    <t>Table 3-Census Division Lookup Table</t>
  </si>
  <si>
    <t>Table 4-Fuel Type Selected</t>
  </si>
  <si>
    <t>Age</t>
  </si>
  <si>
    <t>1940-1949</t>
  </si>
  <si>
    <t>1950-1959</t>
  </si>
  <si>
    <t>1970-1979</t>
  </si>
  <si>
    <t>1980-1989</t>
  </si>
  <si>
    <t>1990-1999</t>
  </si>
  <si>
    <t>Energy Consumption (Therms)</t>
  </si>
  <si>
    <t>Energy Consumption (Gallons)</t>
  </si>
  <si>
    <t>Table 2-Historical Heat Loads by Construction Age and Region (kBTU/SF/YR)</t>
  </si>
  <si>
    <t>Energy Consumption (MMBTU)</t>
  </si>
  <si>
    <t xml:space="preserve">2006 Residential Price of # 2 Oil </t>
  </si>
  <si>
    <t xml:space="preserve">2006 Commercial Price of # 2 Oil </t>
  </si>
  <si>
    <t>2006 Residential Gas Price</t>
  </si>
  <si>
    <t>2006 Commercial Gas Price</t>
  </si>
  <si>
    <t>Table 5-Programmable Thermostat Usage</t>
  </si>
  <si>
    <t>ENERGY STAR Case</t>
  </si>
  <si>
    <t>Standard Case</t>
  </si>
  <si>
    <t>Programmable Thermostat Savings</t>
  </si>
  <si>
    <t>ENERGY STAR Specification</t>
  </si>
  <si>
    <t>RESNET, 2006</t>
  </si>
  <si>
    <t>Conditioned Area</t>
  </si>
  <si>
    <t>square feet</t>
  </si>
  <si>
    <t>Energy Prices</t>
  </si>
  <si>
    <t>Residential Space Heating Load</t>
  </si>
  <si>
    <t>New Unit</t>
  </si>
  <si>
    <t>Select 'New Unit' to compare new furnace options</t>
  </si>
  <si>
    <t>Conventional or Existing Unit</t>
  </si>
  <si>
    <t>New ENERGY STAR Qualified Unit</t>
  </si>
  <si>
    <t>Selection</t>
  </si>
  <si>
    <t>Installed Cost per Unit (estimated retail price)</t>
  </si>
  <si>
    <t>What Census region do you live in?</t>
  </si>
  <si>
    <t>Installed Cost</t>
  </si>
  <si>
    <t>EIA 2006</t>
  </si>
  <si>
    <r>
      <t>Oil CO</t>
    </r>
    <r>
      <rPr>
        <vertAlign val="subscript"/>
        <sz val="10"/>
        <rFont val="Univers"/>
        <family val="2"/>
      </rPr>
      <t>2</t>
    </r>
    <r>
      <rPr>
        <sz val="10"/>
        <rFont val="Univers"/>
        <family val="2"/>
      </rPr>
      <t xml:space="preserve"> Emission Factor</t>
    </r>
  </si>
  <si>
    <r>
      <t>Gas CO</t>
    </r>
    <r>
      <rPr>
        <vertAlign val="subscript"/>
        <sz val="10"/>
        <rFont val="Univers"/>
        <family val="2"/>
      </rPr>
      <t>2</t>
    </r>
    <r>
      <rPr>
        <sz val="10"/>
        <rFont val="Univers"/>
        <family val="2"/>
      </rPr>
      <t xml:space="preserve"> Factor</t>
    </r>
  </si>
  <si>
    <t>Annual Fuel Utilization Efficiency (AFUE) for Gas</t>
  </si>
  <si>
    <t>Annual Fuel Utilization Efficiency (AFUE) for Oil</t>
  </si>
  <si>
    <t>Table 6 - ENERGY STAR Specification</t>
  </si>
  <si>
    <t>Calculated</t>
  </si>
  <si>
    <t>% of Regional Load</t>
  </si>
  <si>
    <t>HUNTSVILLE, AL</t>
  </si>
  <si>
    <t>MOBILE, AL</t>
  </si>
  <si>
    <t>ANCHORAGE, AK</t>
  </si>
  <si>
    <t>JUNEAU, AK</t>
  </si>
  <si>
    <t>FLAGSTAFF, AZ</t>
  </si>
  <si>
    <t>PHOENIX, AZ</t>
  </si>
  <si>
    <t>TUCSON, AZ</t>
  </si>
  <si>
    <t>WINSLOW, AZ</t>
  </si>
  <si>
    <t>YUMA, AZ</t>
  </si>
  <si>
    <t>FORT SMITH, AR</t>
  </si>
  <si>
    <t>LITTLE ROCK, AR</t>
  </si>
  <si>
    <t>NORTH LITTLE ROCK, AR</t>
  </si>
  <si>
    <t>BAKERSFIELD, CA</t>
  </si>
  <si>
    <t>BISHOP, CA</t>
  </si>
  <si>
    <t>EUREKA, CA.</t>
  </si>
  <si>
    <t>FRESNO, CA</t>
  </si>
  <si>
    <t>LONG BEACH, CA</t>
  </si>
  <si>
    <t>LOS ANGELES C.O., CA</t>
  </si>
  <si>
    <t>MOUNT SHASTA, CA</t>
  </si>
  <si>
    <t>SACRAMENTO, CA</t>
  </si>
  <si>
    <t>SAN DIEGO, CA</t>
  </si>
  <si>
    <t>SAN FRANCISCO C.O., CA</t>
  </si>
  <si>
    <t>SANTA BARBARA, CA</t>
  </si>
  <si>
    <t>SANTA MARIA, CA</t>
  </si>
  <si>
    <t>STOCKTON, CA</t>
  </si>
  <si>
    <t>ALAMOSA, CO</t>
  </si>
  <si>
    <t>COLORADO SPRINGS, CO</t>
  </si>
  <si>
    <t>DENVER, CO</t>
  </si>
  <si>
    <t>GRAND JUNCTION, CO</t>
  </si>
  <si>
    <t>PUEBLO, CO</t>
  </si>
  <si>
    <t>BRIDGEPORT, CT</t>
  </si>
  <si>
    <t>HARTFORD, CT</t>
  </si>
  <si>
    <t>WILMINGTON, DE</t>
  </si>
  <si>
    <t>MIAMI, FL</t>
  </si>
  <si>
    <t>ORLANDO, FL</t>
  </si>
  <si>
    <t>TALLAHASSEE, FL</t>
  </si>
  <si>
    <t>ATLANTA, GA</t>
  </si>
  <si>
    <t>BOISE, ID</t>
  </si>
  <si>
    <t>LEWISTON, ID</t>
  </si>
  <si>
    <t>MOLINE, IL</t>
  </si>
  <si>
    <t>PEORIA, IL</t>
  </si>
  <si>
    <t>SPRINGFIELD, IL</t>
  </si>
  <si>
    <t>EVANSVILLE, IN</t>
  </si>
  <si>
    <t>FORT WAYNE, IN</t>
  </si>
  <si>
    <t>INDIANAPOLIS, IN</t>
  </si>
  <si>
    <t>SOUTH BEND, IN</t>
  </si>
  <si>
    <t>DES MOINES, IA</t>
  </si>
  <si>
    <t>SIOUX CITY, IA</t>
  </si>
  <si>
    <t>CONCORDIA, KS</t>
  </si>
  <si>
    <t>DODGE CITY, KS</t>
  </si>
  <si>
    <t>GOODLAND, KS</t>
  </si>
  <si>
    <t>TOPEKA, KS</t>
  </si>
  <si>
    <t>WICHITA, KS</t>
  </si>
  <si>
    <t>JACKSON, KY</t>
  </si>
  <si>
    <t>LEXINGTON, KY</t>
  </si>
  <si>
    <t>LOUISVILLE, KY</t>
  </si>
  <si>
    <t>BATON ROUGE, LA</t>
  </si>
  <si>
    <t>LAKE CHARLES, LA</t>
  </si>
  <si>
    <t>NEW ORLEANS, LA</t>
  </si>
  <si>
    <t>SHREVEPORT, LA</t>
  </si>
  <si>
    <t>PORTLAND, ME</t>
  </si>
  <si>
    <t>BALTIMORE, MD</t>
  </si>
  <si>
    <t>BOSTON, MA</t>
  </si>
  <si>
    <t>WORCESTER, MA</t>
  </si>
  <si>
    <t>DETROIT, MI</t>
  </si>
  <si>
    <t>FLINT, MI</t>
  </si>
  <si>
    <t>GRAND RAPIDS, MI</t>
  </si>
  <si>
    <t>LANSING, MI</t>
  </si>
  <si>
    <t>DULUTH, MN</t>
  </si>
  <si>
    <t>MINNEAPOLIS-ST.PAUL, MN</t>
  </si>
  <si>
    <t>SAINT CLOUD, MN</t>
  </si>
  <si>
    <t>JACKSON, MS</t>
  </si>
  <si>
    <t>MERIDIAN, MS</t>
  </si>
  <si>
    <t>COLUMBIA, MO</t>
  </si>
  <si>
    <t>KANSAS CITY, MO</t>
  </si>
  <si>
    <t>ST. LOUIS, MO</t>
  </si>
  <si>
    <t>SPRINGFIELD, MO</t>
  </si>
  <si>
    <t>BILLINGS, MT</t>
  </si>
  <si>
    <t>GREAT FALLS, MT</t>
  </si>
  <si>
    <t>HELENA, MT</t>
  </si>
  <si>
    <t>MISSOULA, MT</t>
  </si>
  <si>
    <t>GRAND ISLAND, NE</t>
  </si>
  <si>
    <t>LINCOLN, NE</t>
  </si>
  <si>
    <t>OMAHA (NORTH), NE</t>
  </si>
  <si>
    <t>SCOTTSBLUFF, NE</t>
  </si>
  <si>
    <t>LAS VEGAS, NV</t>
  </si>
  <si>
    <t>RENO, NV</t>
  </si>
  <si>
    <t>WINNEMUCCA, NV</t>
  </si>
  <si>
    <t>CONCORD, NH</t>
  </si>
  <si>
    <t>NEWARK, NJ</t>
  </si>
  <si>
    <t>ALBUQUERQUE, NM</t>
  </si>
  <si>
    <t>CLAYTON, NM</t>
  </si>
  <si>
    <t>ROSWELL, NM</t>
  </si>
  <si>
    <t>ALBANY, NY</t>
  </si>
  <si>
    <t>BINGHAMTON, NY</t>
  </si>
  <si>
    <t>BUFFALO, NY</t>
  </si>
  <si>
    <t>ISLIP, NY</t>
  </si>
  <si>
    <t>NEW YORK (JFK AIRPORT), NY</t>
  </si>
  <si>
    <t>SYRACUSE, NY</t>
  </si>
  <si>
    <t>ASHEVILLE, NC</t>
  </si>
  <si>
    <t>CHARLOTTE, NC</t>
  </si>
  <si>
    <t>RALEIGH, NC</t>
  </si>
  <si>
    <t>BISMARCK, ND</t>
  </si>
  <si>
    <t>FARGO, ND</t>
  </si>
  <si>
    <t>AKRON, OH</t>
  </si>
  <si>
    <t>CINCINNATI, OH</t>
  </si>
  <si>
    <t>CLEVELAND, OH</t>
  </si>
  <si>
    <t>COLUMBUS, OH</t>
  </si>
  <si>
    <t>DAYTON, OH</t>
  </si>
  <si>
    <t>MANSFIELD, OH</t>
  </si>
  <si>
    <t>TOLEDO, OH</t>
  </si>
  <si>
    <t>YOUNGSTOWN, OH</t>
  </si>
  <si>
    <t>OKLAHOMA CITY, OK</t>
  </si>
  <si>
    <t>TULSA, OK</t>
  </si>
  <si>
    <t>ASTORIA, OR</t>
  </si>
  <si>
    <t>EUGENE, OR</t>
  </si>
  <si>
    <t>MEDFORD, OR</t>
  </si>
  <si>
    <t>PENDLETON, OR</t>
  </si>
  <si>
    <t>PORTLAND, OR</t>
  </si>
  <si>
    <t>SALEM, OR</t>
  </si>
  <si>
    <t>SEXTON SUMMIT, OR</t>
  </si>
  <si>
    <t>ALLENTOWN, PA</t>
  </si>
  <si>
    <t>ERIE, PA.</t>
  </si>
  <si>
    <t>HARRISBURG, PA</t>
  </si>
  <si>
    <t>PHILADELPHIA, PA</t>
  </si>
  <si>
    <t>PITTSBURGH, PA</t>
  </si>
  <si>
    <t>WILLIAMSPORT, PA</t>
  </si>
  <si>
    <t>PROVIDENCE, RI</t>
  </si>
  <si>
    <t>COLUMBIA, SC</t>
  </si>
  <si>
    <t>HURON, SD</t>
  </si>
  <si>
    <t>RAPID CITY, SD</t>
  </si>
  <si>
    <t>SIOUX FALLS, SD</t>
  </si>
  <si>
    <t>CHATTANOOGA, TN</t>
  </si>
  <si>
    <t>KNOXVILLE, TN</t>
  </si>
  <si>
    <t>MEMPHIS, TN</t>
  </si>
  <si>
    <t>NASHVILLE, TN</t>
  </si>
  <si>
    <t>ABILENE, TX</t>
  </si>
  <si>
    <t>AMARILLO, TX</t>
  </si>
  <si>
    <t>AUSTIN/CITY, TX</t>
  </si>
  <si>
    <t>AUSTIN/BERGSTROM, TX</t>
  </si>
  <si>
    <t>BROWNSVILLE, TX</t>
  </si>
  <si>
    <t>CORPUS CHRISTI, TX</t>
  </si>
  <si>
    <t>DALLAS-FORT WORTH, TX</t>
  </si>
  <si>
    <t>DALLAS-LOVE FIELD, TX</t>
  </si>
  <si>
    <t>DEL RIO, TX</t>
  </si>
  <si>
    <t>EL PASO, TX</t>
  </si>
  <si>
    <t>GALVESTON, TX</t>
  </si>
  <si>
    <t>HOUSTON, TX</t>
  </si>
  <si>
    <t>LUBBOCK, TX</t>
  </si>
  <si>
    <t>MIDLAND-ODESSA, TX</t>
  </si>
  <si>
    <t>PORT ARTHUR, TX</t>
  </si>
  <si>
    <t>SAN ANGELO, TX</t>
  </si>
  <si>
    <t>SAN ANTONIO, TX</t>
  </si>
  <si>
    <t>VICTORIA, TX</t>
  </si>
  <si>
    <t>WACO, TX</t>
  </si>
  <si>
    <t>WICHITA FALLS, TX</t>
  </si>
  <si>
    <t>MILFORD, UT</t>
  </si>
  <si>
    <t>SALT LAKE CITY, UT</t>
  </si>
  <si>
    <t>BURLINGTON, VT</t>
  </si>
  <si>
    <t>LYNCHBURG, VA</t>
  </si>
  <si>
    <t>NORFOLK, VA</t>
  </si>
  <si>
    <t>RICHMOND, VA</t>
  </si>
  <si>
    <t>ROANOKE, VA</t>
  </si>
  <si>
    <t>OLYMPIA, WA</t>
  </si>
  <si>
    <t>QUILLAYUTE, WA</t>
  </si>
  <si>
    <t>SPOKANE, WA</t>
  </si>
  <si>
    <t>YAKIMA, WA</t>
  </si>
  <si>
    <t>BECKLEY, WV</t>
  </si>
  <si>
    <t>CHARLESTON, WV</t>
  </si>
  <si>
    <t>ELKINS, WV</t>
  </si>
  <si>
    <t>HUNTINGTON, WV</t>
  </si>
  <si>
    <t>GREEN BAY, WI</t>
  </si>
  <si>
    <t>MADISON, WI</t>
  </si>
  <si>
    <t>MILWAUKEE, WI</t>
  </si>
  <si>
    <t>CHEYENNE, WY</t>
  </si>
  <si>
    <t>LANDER, WY</t>
  </si>
  <si>
    <t>SHERIDAN, WY</t>
  </si>
  <si>
    <t>Selected City Heat Load by Construction Age (kBTU/SF/YR)</t>
  </si>
  <si>
    <t>Ratio of Heating Degree Days to Regional Average Heating Degree Day</t>
  </si>
  <si>
    <t>Calculator last updated 12/07</t>
  </si>
  <si>
    <t>BIRMINGHAM, AL</t>
  </si>
  <si>
    <t>WASHINGTON, DC</t>
  </si>
  <si>
    <t>AUGUSTA, GA</t>
  </si>
  <si>
    <t>HONOLULU, HI</t>
  </si>
  <si>
    <t>CHICAGO, IL</t>
  </si>
  <si>
    <t>PADUCAH, KY</t>
  </si>
  <si>
    <t>ATLANTIC CITY C.O., NJ</t>
  </si>
  <si>
    <t>BURNS, OR</t>
  </si>
  <si>
    <t>BRISTOL-JHNSN CTY-KNGSPRT, TN</t>
  </si>
  <si>
    <t>SEATTLE, WA</t>
  </si>
  <si>
    <t>WALLA WALLA, WA</t>
  </si>
  <si>
    <t>Middle Atlantic</t>
  </si>
  <si>
    <t>East South Central</t>
  </si>
  <si>
    <t>East North Central</t>
  </si>
  <si>
    <t>West North Central</t>
  </si>
  <si>
    <t>West South Central</t>
  </si>
  <si>
    <t>NOAA, 2007</t>
  </si>
  <si>
    <t>Industry Data, 2007</t>
  </si>
  <si>
    <t>2000-Present</t>
  </si>
  <si>
    <t>Average Heating Savings in the North</t>
  </si>
  <si>
    <t>Average Heating Savings in the South</t>
  </si>
  <si>
    <t>LBNL 2007</t>
  </si>
  <si>
    <t>Savings Due to Programmable Thermostat</t>
  </si>
  <si>
    <t>Average Heating Savings in the Selected City</t>
  </si>
  <si>
    <t>Table 7 - Programmable Thermostat Savings Lookup Table</t>
  </si>
  <si>
    <t>slope, m</t>
  </si>
  <si>
    <t>intercept, b</t>
  </si>
  <si>
    <t>avg lower quartile (kBTU/SF/YR)</t>
  </si>
  <si>
    <t>avg upper quartile (kBTU/SF/YR)</t>
  </si>
  <si>
    <t>Thermostat Usage Guidelines</t>
  </si>
  <si>
    <t>Calculated (see Table 7 Cell M35)</t>
  </si>
  <si>
    <t>EIA 2007</t>
  </si>
  <si>
    <t>EPA 2007</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</si>
</sst>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Red]#,##0"/>
    <numFmt numFmtId="173" formatCode="&quot;$&quot;#,##0.000_);[Red]\(&quot;$&quot;#,##0.000\)"/>
    <numFmt numFmtId="174" formatCode="&quot;$&quot;#,##0;[Red]&quot;$&quot;#,##0"/>
    <numFmt numFmtId="175" formatCode="&quot;$&quot;#,##0"/>
    <numFmt numFmtId="176" formatCode="#,##0.0"/>
    <numFmt numFmtId="177" formatCode="0.0"/>
    <numFmt numFmtId="178" formatCode="_(* #,##0_);_(* \(#,##0\);_(* &quot;-&quot;??_);_(@_)"/>
    <numFmt numFmtId="179" formatCode="&quot;$&quot;#,##0.00"/>
    <numFmt numFmtId="180" formatCode="&quot;$&quot;#,##0.0"/>
    <numFmt numFmtId="181" formatCode="0.0%"/>
    <numFmt numFmtId="182" formatCode="#,##0.000"/>
    <numFmt numFmtId="183" formatCode="#,##0.0;[Red]#,##0.0"/>
    <numFmt numFmtId="184" formatCode="#,##0.00;[Red]#,##0.00"/>
    <numFmt numFmtId="185" formatCode="&quot;$&quot;#,##0.000"/>
    <numFmt numFmtId="186" formatCode="&quot;$&quot;#,##0.0000"/>
    <numFmt numFmtId="187" formatCode="#,##0.0000"/>
    <numFmt numFmtId="188" formatCode="#,##0.000000"/>
  </numFmts>
  <fonts count="6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sz val="12"/>
      <name val="Univers"/>
      <family val="2"/>
    </font>
    <font>
      <u val="single"/>
      <sz val="10"/>
      <color indexed="36"/>
      <name val="Arial"/>
      <family val="2"/>
    </font>
    <font>
      <b/>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Univers"/>
      <family val="2"/>
    </font>
    <font>
      <b/>
      <sz val="10"/>
      <color indexed="9"/>
      <name val="Univers"/>
      <family val="2"/>
    </font>
    <font>
      <i/>
      <sz val="10"/>
      <color indexed="9"/>
      <name val="Univers"/>
      <family val="2"/>
    </font>
    <font>
      <sz val="10"/>
      <color indexed="9"/>
      <name val="Arial"/>
      <family val="2"/>
    </font>
    <font>
      <sz val="8"/>
      <name val="Tahoma"/>
      <family val="2"/>
    </font>
    <font>
      <b/>
      <sz val="12"/>
      <color indexed="9"/>
      <name val="Univer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Univers"/>
      <family val="2"/>
    </font>
    <font>
      <b/>
      <sz val="10"/>
      <color theme="0"/>
      <name val="Univers"/>
      <family val="2"/>
    </font>
    <font>
      <i/>
      <sz val="10"/>
      <color theme="0"/>
      <name val="Univers"/>
      <family val="2"/>
    </font>
    <font>
      <sz val="10"/>
      <color theme="0"/>
      <name val="Arial"/>
      <family val="2"/>
    </font>
    <font>
      <b/>
      <sz val="12"/>
      <color theme="0"/>
      <name val="Univer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8">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74" fontId="1" fillId="33" borderId="0" xfId="0" applyNumberFormat="1" applyFont="1" applyFill="1" applyBorder="1" applyAlignment="1" applyProtection="1">
      <alignment/>
      <protection/>
    </xf>
    <xf numFmtId="174"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75"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75" fontId="3" fillId="34" borderId="17" xfId="0" applyNumberFormat="1" applyFont="1" applyFill="1" applyBorder="1" applyAlignment="1" applyProtection="1">
      <alignment/>
      <protection/>
    </xf>
    <xf numFmtId="175"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2" fillId="34" borderId="11" xfId="0" applyFont="1" applyFill="1" applyBorder="1" applyAlignment="1" applyProtection="1">
      <alignment/>
      <protection/>
    </xf>
    <xf numFmtId="0" fontId="9" fillId="34" borderId="11" xfId="0" applyFont="1" applyFill="1" applyBorder="1" applyAlignment="1" applyProtection="1">
      <alignment/>
      <protection/>
    </xf>
    <xf numFmtId="179" fontId="1" fillId="33" borderId="14" xfId="0" applyNumberFormat="1" applyFont="1" applyFill="1" applyBorder="1" applyAlignment="1" applyProtection="1">
      <alignment horizontal="right"/>
      <protection/>
    </xf>
    <xf numFmtId="179" fontId="1" fillId="33" borderId="14" xfId="0" applyNumberFormat="1" applyFont="1" applyFill="1" applyBorder="1" applyAlignment="1" applyProtection="1">
      <alignment/>
      <protection/>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76" fontId="9"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74" fontId="1" fillId="36" borderId="18" xfId="0" applyNumberFormat="1" applyFont="1" applyFill="1" applyBorder="1" applyAlignment="1" applyProtection="1">
      <alignment horizontal="right"/>
      <protection locked="0"/>
    </xf>
    <xf numFmtId="0" fontId="1" fillId="0" borderId="19" xfId="0" applyFont="1" applyFill="1" applyBorder="1" applyAlignment="1" applyProtection="1">
      <alignment/>
      <protection/>
    </xf>
    <xf numFmtId="175"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75" fontId="1" fillId="34" borderId="14" xfId="0" applyNumberFormat="1" applyFont="1" applyFill="1" applyBorder="1" applyAlignment="1" applyProtection="1">
      <alignment/>
      <protection/>
    </xf>
    <xf numFmtId="175" fontId="3" fillId="34" borderId="17" xfId="0" applyNumberFormat="1" applyFont="1" applyFill="1" applyBorder="1" applyAlignment="1" applyProtection="1">
      <alignment/>
      <protection/>
    </xf>
    <xf numFmtId="175" fontId="3" fillId="35" borderId="0" xfId="0" applyNumberFormat="1" applyFont="1" applyFill="1" applyBorder="1" applyAlignment="1" applyProtection="1">
      <alignment/>
      <protection/>
    </xf>
    <xf numFmtId="177"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75" fontId="3" fillId="35" borderId="12" xfId="0" applyNumberFormat="1" applyFont="1" applyFill="1" applyBorder="1" applyAlignment="1" applyProtection="1">
      <alignment/>
      <protection/>
    </xf>
    <xf numFmtId="177"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175"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183" fontId="1" fillId="33" borderId="0" xfId="0" applyNumberFormat="1" applyFont="1" applyFill="1" applyBorder="1" applyAlignment="1" applyProtection="1">
      <alignment/>
      <protection/>
    </xf>
    <xf numFmtId="9" fontId="1" fillId="33" borderId="0" xfId="0" applyNumberFormat="1" applyFont="1" applyFill="1" applyBorder="1" applyAlignment="1" applyProtection="1">
      <alignment horizontal="right"/>
      <protection locked="0"/>
    </xf>
    <xf numFmtId="0" fontId="1" fillId="0" borderId="0" xfId="0" applyFont="1" applyBorder="1" applyAlignment="1" applyProtection="1">
      <alignment/>
      <protection/>
    </xf>
    <xf numFmtId="0" fontId="18" fillId="0" borderId="11" xfId="0" applyFont="1" applyBorder="1" applyAlignment="1" applyProtection="1">
      <alignment horizontal="center"/>
      <protection/>
    </xf>
    <xf numFmtId="0" fontId="18" fillId="0" borderId="0"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3" fillId="0" borderId="15" xfId="0" applyFont="1" applyFill="1" applyBorder="1" applyAlignment="1" applyProtection="1">
      <alignment/>
      <protection/>
    </xf>
    <xf numFmtId="0" fontId="9" fillId="0" borderId="20" xfId="0" applyFont="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175" fontId="1" fillId="0" borderId="11" xfId="0" applyNumberFormat="1" applyFont="1" applyFill="1" applyBorder="1" applyAlignment="1" applyProtection="1">
      <alignment horizontal="right"/>
      <protection/>
    </xf>
    <xf numFmtId="0" fontId="1" fillId="0" borderId="19" xfId="0" applyFont="1" applyFill="1" applyBorder="1" applyAlignment="1" applyProtection="1">
      <alignment horizontal="left" indent="1"/>
      <protection/>
    </xf>
    <xf numFmtId="172" fontId="1" fillId="0" borderId="11"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38" fontId="1" fillId="0" borderId="0" xfId="0" applyNumberFormat="1" applyFont="1" applyFill="1" applyBorder="1" applyAlignment="1" applyProtection="1">
      <alignment horizontal="left"/>
      <protection/>
    </xf>
    <xf numFmtId="0" fontId="1" fillId="0" borderId="11" xfId="0" applyFont="1" applyBorder="1" applyAlignment="1" applyProtection="1">
      <alignment horizontal="left" indent="1"/>
      <protection/>
    </xf>
    <xf numFmtId="0" fontId="3" fillId="0" borderId="11" xfId="0" applyFont="1" applyBorder="1" applyAlignment="1" applyProtection="1">
      <alignment horizontal="left"/>
      <protection/>
    </xf>
    <xf numFmtId="0" fontId="1" fillId="0" borderId="11" xfId="0" applyNumberFormat="1" applyFont="1" applyFill="1" applyBorder="1" applyAlignment="1" applyProtection="1">
      <alignment horizontal="right"/>
      <protection/>
    </xf>
    <xf numFmtId="172" fontId="1" fillId="0" borderId="11" xfId="0" applyNumberFormat="1" applyFont="1" applyFill="1" applyBorder="1" applyAlignment="1" applyProtection="1">
      <alignment/>
      <protection/>
    </xf>
    <xf numFmtId="0" fontId="1" fillId="0" borderId="0" xfId="0" applyFont="1" applyFill="1" applyBorder="1" applyAlignment="1" applyProtection="1">
      <alignment/>
      <protection/>
    </xf>
    <xf numFmtId="0" fontId="9" fillId="0" borderId="19" xfId="0" applyFont="1" applyBorder="1" applyAlignment="1" applyProtection="1">
      <alignment horizontal="left"/>
      <protection/>
    </xf>
    <xf numFmtId="177" fontId="1" fillId="0" borderId="11" xfId="0" applyNumberFormat="1" applyFont="1" applyFill="1" applyBorder="1" applyAlignment="1" applyProtection="1">
      <alignment horizontal="right"/>
      <protection/>
    </xf>
    <xf numFmtId="177" fontId="1" fillId="0" borderId="12" xfId="0" applyNumberFormat="1" applyFont="1" applyFill="1" applyBorder="1" applyAlignment="1" applyProtection="1">
      <alignment horizontal="left"/>
      <protection/>
    </xf>
    <xf numFmtId="0" fontId="1" fillId="0" borderId="0" xfId="0"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9" fillId="0" borderId="19"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9" fillId="0" borderId="13" xfId="0" applyFont="1" applyBorder="1" applyAlignment="1" applyProtection="1">
      <alignment/>
      <protection/>
    </xf>
    <xf numFmtId="0" fontId="1" fillId="0" borderId="11" xfId="0" applyFont="1" applyFill="1" applyBorder="1" applyAlignment="1" applyProtection="1">
      <alignment horizontal="left" indent="1"/>
      <protection/>
    </xf>
    <xf numFmtId="0" fontId="1" fillId="0" borderId="12" xfId="0" applyFont="1" applyFill="1" applyBorder="1" applyAlignment="1" applyProtection="1">
      <alignment horizontal="left"/>
      <protection/>
    </xf>
    <xf numFmtId="0" fontId="1" fillId="0" borderId="21" xfId="0" applyFont="1" applyFill="1" applyBorder="1" applyAlignment="1" applyProtection="1">
      <alignment horizontal="left" indent="1"/>
      <protection/>
    </xf>
    <xf numFmtId="3" fontId="1" fillId="0" borderId="14" xfId="0" applyNumberFormat="1" applyFont="1" applyFill="1" applyBorder="1" applyAlignment="1" applyProtection="1">
      <alignment horizontal="right"/>
      <protection/>
    </xf>
    <xf numFmtId="175" fontId="9" fillId="35" borderId="0" xfId="0" applyNumberFormat="1" applyFont="1" applyFill="1" applyBorder="1" applyAlignment="1" applyProtection="1">
      <alignment/>
      <protection/>
    </xf>
    <xf numFmtId="177" fontId="9" fillId="35" borderId="0" xfId="0" applyNumberFormat="1" applyFont="1" applyFill="1" applyBorder="1" applyAlignment="1" applyProtection="1">
      <alignment/>
      <protection/>
    </xf>
    <xf numFmtId="3" fontId="9" fillId="35" borderId="0" xfId="0" applyNumberFormat="1" applyFont="1" applyFill="1" applyBorder="1" applyAlignment="1" applyProtection="1">
      <alignment/>
      <protection/>
    </xf>
    <xf numFmtId="9" fontId="9" fillId="35" borderId="0" xfId="59" applyFont="1" applyFill="1" applyBorder="1" applyAlignment="1" applyProtection="1">
      <alignment/>
      <protection/>
    </xf>
    <xf numFmtId="9" fontId="1" fillId="0" borderId="0" xfId="0" applyNumberFormat="1" applyFont="1" applyFill="1" applyBorder="1" applyAlignment="1" applyProtection="1">
      <alignment vertical="top"/>
      <protection locked="0"/>
    </xf>
    <xf numFmtId="0" fontId="1" fillId="0" borderId="19" xfId="0" applyFont="1" applyBorder="1" applyAlignment="1" applyProtection="1">
      <alignment horizontal="left" vertical="top" indent="1"/>
      <protection/>
    </xf>
    <xf numFmtId="0" fontId="1" fillId="0" borderId="11" xfId="0" applyFont="1" applyFill="1" applyBorder="1" applyAlignment="1" applyProtection="1">
      <alignment/>
      <protection/>
    </xf>
    <xf numFmtId="0" fontId="9" fillId="0" borderId="19" xfId="0" applyFont="1" applyBorder="1" applyAlignment="1" applyProtection="1">
      <alignment horizontal="left"/>
      <protection/>
    </xf>
    <xf numFmtId="0" fontId="1" fillId="33" borderId="11" xfId="0" applyFont="1" applyFill="1" applyBorder="1" applyAlignment="1" applyProtection="1">
      <alignment/>
      <protection/>
    </xf>
    <xf numFmtId="0" fontId="1" fillId="0" borderId="11" xfId="0" applyNumberFormat="1" applyFont="1" applyFill="1" applyBorder="1" applyAlignment="1" applyProtection="1">
      <alignment horizontal="left"/>
      <protection/>
    </xf>
    <xf numFmtId="3" fontId="1" fillId="36" borderId="18" xfId="0" applyNumberFormat="1" applyFont="1" applyFill="1" applyBorder="1" applyAlignment="1" applyProtection="1">
      <alignment/>
      <protection locked="0"/>
    </xf>
    <xf numFmtId="9" fontId="1" fillId="36" borderId="18" xfId="0" applyNumberFormat="1" applyFont="1" applyFill="1" applyBorder="1" applyAlignment="1" applyProtection="1">
      <alignment horizontal="right"/>
      <protection locked="0"/>
    </xf>
    <xf numFmtId="179" fontId="1" fillId="0" borderId="0"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9" fontId="1" fillId="0" borderId="0" xfId="0" applyNumberFormat="1" applyFont="1" applyFill="1" applyBorder="1" applyAlignment="1" applyProtection="1">
      <alignment horizontal="right"/>
      <protection/>
    </xf>
    <xf numFmtId="0" fontId="17" fillId="33" borderId="0" xfId="53" applyFill="1" applyBorder="1" applyAlignment="1" applyProtection="1">
      <alignment/>
      <protection/>
    </xf>
    <xf numFmtId="179" fontId="1" fillId="36" borderId="18" xfId="0" applyNumberFormat="1" applyFont="1" applyFill="1" applyBorder="1" applyAlignment="1" applyProtection="1">
      <alignment/>
      <protection locked="0"/>
    </xf>
    <xf numFmtId="0" fontId="1" fillId="0" borderId="0" xfId="0" applyFont="1" applyFill="1" applyBorder="1" applyAlignment="1" applyProtection="1">
      <alignment horizontal="left" indent="1"/>
      <protection/>
    </xf>
    <xf numFmtId="0" fontId="1" fillId="0" borderId="0" xfId="0" applyFont="1" applyFill="1" applyBorder="1" applyAlignment="1" applyProtection="1">
      <alignment horizontal="left"/>
      <protection/>
    </xf>
    <xf numFmtId="0" fontId="1" fillId="0" borderId="21" xfId="0" applyFont="1" applyFill="1" applyBorder="1" applyAlignment="1" applyProtection="1">
      <alignment/>
      <protection/>
    </xf>
    <xf numFmtId="2" fontId="1" fillId="0" borderId="11" xfId="0" applyNumberFormat="1" applyFont="1" applyFill="1" applyBorder="1" applyAlignment="1" applyProtection="1">
      <alignment horizontal="center"/>
      <protection/>
    </xf>
    <xf numFmtId="0" fontId="0" fillId="0" borderId="0" xfId="0" applyAlignment="1">
      <alignment horizontal="center"/>
    </xf>
    <xf numFmtId="0" fontId="0" fillId="0" borderId="19" xfId="0" applyFont="1" applyBorder="1" applyAlignment="1">
      <alignment/>
    </xf>
    <xf numFmtId="0" fontId="0" fillId="0" borderId="19" xfId="0" applyBorder="1" applyAlignment="1">
      <alignment/>
    </xf>
    <xf numFmtId="0" fontId="9" fillId="0" borderId="19" xfId="0" applyFont="1" applyBorder="1" applyAlignment="1" applyProtection="1">
      <alignment horizontal="left" wrapText="1"/>
      <protection/>
    </xf>
    <xf numFmtId="0" fontId="3" fillId="0" borderId="19" xfId="0" applyFont="1" applyFill="1" applyBorder="1" applyAlignment="1" applyProtection="1">
      <alignment/>
      <protection/>
    </xf>
    <xf numFmtId="0" fontId="1" fillId="37" borderId="0" xfId="0" applyNumberFormat="1" applyFont="1" applyFill="1" applyBorder="1" applyAlignment="1" applyProtection="1">
      <alignment horizontal="right"/>
      <protection/>
    </xf>
    <xf numFmtId="177" fontId="0" fillId="0" borderId="0" xfId="0" applyNumberFormat="1" applyAlignment="1">
      <alignment/>
    </xf>
    <xf numFmtId="9" fontId="1" fillId="0" borderId="11" xfId="0" applyNumberFormat="1" applyFont="1" applyFill="1" applyBorder="1" applyAlignment="1" applyProtection="1">
      <alignment horizontal="right"/>
      <protection/>
    </xf>
    <xf numFmtId="0" fontId="1" fillId="0" borderId="19" xfId="0" applyFont="1" applyBorder="1" applyAlignment="1" applyProtection="1">
      <alignment horizontal="left" indent="1"/>
      <protection/>
    </xf>
    <xf numFmtId="0" fontId="9" fillId="0" borderId="19" xfId="0" applyFont="1" applyBorder="1" applyAlignment="1" applyProtection="1">
      <alignment/>
      <protection/>
    </xf>
    <xf numFmtId="0" fontId="20" fillId="0" borderId="12" xfId="0" applyFont="1" applyFill="1" applyBorder="1" applyAlignment="1" applyProtection="1">
      <alignment horizontal="left"/>
      <protection/>
    </xf>
    <xf numFmtId="0" fontId="1" fillId="0" borderId="11" xfId="0" applyFont="1" applyBorder="1" applyAlignment="1" applyProtection="1">
      <alignment horizontal="center" wrapText="1"/>
      <protection/>
    </xf>
    <xf numFmtId="181" fontId="1" fillId="0" borderId="11" xfId="0" applyNumberFormat="1" applyFont="1" applyFill="1" applyBorder="1" applyAlignment="1" applyProtection="1">
      <alignment horizontal="right"/>
      <protection/>
    </xf>
    <xf numFmtId="0" fontId="1" fillId="0" borderId="0" xfId="0" applyFont="1" applyFill="1" applyAlignment="1" applyProtection="1">
      <alignment horizontal="center" wrapText="1"/>
      <protection/>
    </xf>
    <xf numFmtId="181" fontId="0" fillId="0" borderId="0" xfId="0" applyNumberFormat="1" applyAlignment="1">
      <alignment/>
    </xf>
    <xf numFmtId="181" fontId="1" fillId="0" borderId="0" xfId="0" applyNumberFormat="1" applyFont="1" applyFill="1" applyBorder="1" applyAlignment="1" applyProtection="1">
      <alignment horizontal="right"/>
      <protection/>
    </xf>
    <xf numFmtId="181" fontId="0" fillId="0" borderId="0" xfId="0" applyNumberFormat="1" applyBorder="1" applyAlignment="1">
      <alignment/>
    </xf>
    <xf numFmtId="177" fontId="0" fillId="0" borderId="0" xfId="0" applyNumberFormat="1" applyAlignment="1">
      <alignment horizontal="center"/>
    </xf>
    <xf numFmtId="0" fontId="3" fillId="33" borderId="11" xfId="0" applyFont="1" applyFill="1" applyBorder="1" applyAlignment="1" applyProtection="1">
      <alignment/>
      <protection/>
    </xf>
    <xf numFmtId="0" fontId="1" fillId="30" borderId="0" xfId="0" applyFont="1" applyFill="1" applyAlignment="1" applyProtection="1">
      <alignment/>
      <protection/>
    </xf>
    <xf numFmtId="0" fontId="61" fillId="0" borderId="0" xfId="0" applyFont="1" applyFill="1" applyBorder="1" applyAlignment="1" applyProtection="1">
      <alignment/>
      <protection/>
    </xf>
    <xf numFmtId="0" fontId="61" fillId="0" borderId="0" xfId="0" applyFont="1" applyBorder="1" applyAlignment="1" applyProtection="1">
      <alignment/>
      <protection/>
    </xf>
    <xf numFmtId="9" fontId="61" fillId="0" borderId="0" xfId="0" applyNumberFormat="1" applyFont="1" applyFill="1" applyBorder="1" applyAlignment="1" applyProtection="1">
      <alignment horizontal="right"/>
      <protection/>
    </xf>
    <xf numFmtId="0" fontId="61" fillId="0" borderId="0" xfId="0" applyFont="1" applyFill="1" applyBorder="1" applyAlignment="1" applyProtection="1">
      <alignment horizontal="left" indent="1"/>
      <protection/>
    </xf>
    <xf numFmtId="9" fontId="62" fillId="0" borderId="0" xfId="0" applyNumberFormat="1" applyFont="1" applyFill="1" applyBorder="1" applyAlignment="1" applyProtection="1">
      <alignment/>
      <protection/>
    </xf>
    <xf numFmtId="0" fontId="63" fillId="0" borderId="0" xfId="0" applyFont="1" applyFill="1" applyAlignment="1" applyProtection="1">
      <alignment/>
      <protection/>
    </xf>
    <xf numFmtId="185" fontId="61" fillId="0" borderId="0" xfId="0" applyNumberFormat="1" applyFont="1" applyFill="1" applyBorder="1" applyAlignment="1" applyProtection="1">
      <alignment/>
      <protection/>
    </xf>
    <xf numFmtId="0" fontId="61" fillId="0" borderId="0" xfId="0" applyFont="1" applyAlignment="1" applyProtection="1">
      <alignment/>
      <protection/>
    </xf>
    <xf numFmtId="1" fontId="61" fillId="0" borderId="0" xfId="0" applyNumberFormat="1" applyFont="1" applyFill="1" applyBorder="1" applyAlignment="1" applyProtection="1">
      <alignment/>
      <protection/>
    </xf>
    <xf numFmtId="180" fontId="61" fillId="0" borderId="0" xfId="0" applyNumberFormat="1" applyFont="1" applyFill="1" applyAlignment="1" applyProtection="1">
      <alignment/>
      <protection/>
    </xf>
    <xf numFmtId="9" fontId="61" fillId="0" borderId="0" xfId="0" applyNumberFormat="1" applyFont="1" applyFill="1" applyAlignment="1" applyProtection="1">
      <alignment/>
      <protection/>
    </xf>
    <xf numFmtId="9" fontId="61" fillId="0" borderId="0" xfId="0" applyNumberFormat="1" applyFont="1" applyBorder="1" applyAlignment="1" applyProtection="1">
      <alignment/>
      <protection/>
    </xf>
    <xf numFmtId="180" fontId="61" fillId="0" borderId="0" xfId="0" applyNumberFormat="1" applyFont="1" applyFill="1" applyBorder="1" applyAlignment="1" applyProtection="1">
      <alignment/>
      <protection/>
    </xf>
    <xf numFmtId="9" fontId="61" fillId="0" borderId="0" xfId="0" applyNumberFormat="1" applyFont="1" applyFill="1" applyBorder="1" applyAlignment="1" applyProtection="1">
      <alignment/>
      <protection/>
    </xf>
    <xf numFmtId="9" fontId="62" fillId="0" borderId="0" xfId="0" applyNumberFormat="1" applyFont="1" applyBorder="1" applyAlignment="1" applyProtection="1">
      <alignment/>
      <protection/>
    </xf>
    <xf numFmtId="0" fontId="61" fillId="0" borderId="0" xfId="0" applyFont="1" applyFill="1" applyAlignment="1" applyProtection="1">
      <alignment/>
      <protection/>
    </xf>
    <xf numFmtId="177" fontId="61" fillId="0" borderId="0" xfId="0" applyNumberFormat="1" applyFont="1" applyBorder="1" applyAlignment="1" applyProtection="1">
      <alignment/>
      <protection/>
    </xf>
    <xf numFmtId="177" fontId="62" fillId="0" borderId="0" xfId="0" applyNumberFormat="1" applyFont="1" applyBorder="1" applyAlignment="1" applyProtection="1">
      <alignment/>
      <protection/>
    </xf>
    <xf numFmtId="0" fontId="61" fillId="0" borderId="0" xfId="0" applyFont="1" applyBorder="1" applyAlignment="1" applyProtection="1">
      <alignment horizontal="center" wrapText="1"/>
      <protection/>
    </xf>
    <xf numFmtId="0" fontId="63" fillId="0" borderId="0" xfId="0" applyFont="1" applyFill="1" applyBorder="1" applyAlignment="1" applyProtection="1">
      <alignment horizontal="left" indent="2"/>
      <protection/>
    </xf>
    <xf numFmtId="0" fontId="64" fillId="0" borderId="0" xfId="0" applyFont="1" applyBorder="1" applyAlignment="1">
      <alignment/>
    </xf>
    <xf numFmtId="0" fontId="64" fillId="0" borderId="0" xfId="0" applyFont="1" applyFill="1" applyBorder="1" applyAlignment="1">
      <alignment/>
    </xf>
    <xf numFmtId="0" fontId="63" fillId="0" borderId="0" xfId="0" applyFont="1" applyFill="1" applyBorder="1" applyAlignment="1" applyProtection="1">
      <alignment/>
      <protection/>
    </xf>
    <xf numFmtId="0" fontId="11" fillId="0" borderId="0" xfId="0" applyFont="1" applyAlignment="1">
      <alignment horizontal="center" wrapText="1"/>
    </xf>
    <xf numFmtId="0" fontId="15" fillId="0" borderId="0" xfId="0" applyFont="1" applyAlignment="1" applyProtection="1">
      <alignment horizontal="left"/>
      <protection/>
    </xf>
    <xf numFmtId="0" fontId="9" fillId="34" borderId="22"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3" fillId="33" borderId="0" xfId="0" applyFont="1" applyFill="1" applyBorder="1" applyAlignment="1" applyProtection="1">
      <alignment horizontal="left" wrapText="1"/>
      <protection/>
    </xf>
    <xf numFmtId="174" fontId="17" fillId="33" borderId="0" xfId="53" applyNumberFormat="1" applyFill="1" applyBorder="1" applyAlignment="1" applyProtection="1">
      <alignment horizontal="center"/>
      <protection/>
    </xf>
    <xf numFmtId="0" fontId="10" fillId="0" borderId="0" xfId="0" applyFont="1" applyAlignment="1">
      <alignment horizontal="center" wrapText="1"/>
    </xf>
    <xf numFmtId="0" fontId="1" fillId="0" borderId="0" xfId="0" applyFont="1" applyAlignment="1">
      <alignment horizontal="center" wrapText="1"/>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8" fillId="0" borderId="16" xfId="0" applyFont="1" applyBorder="1" applyAlignment="1" applyProtection="1">
      <alignment horizontal="center"/>
      <protection/>
    </xf>
    <xf numFmtId="0" fontId="18" fillId="0" borderId="17" xfId="0" applyFont="1" applyBorder="1" applyAlignment="1" applyProtection="1">
      <alignment horizontal="center"/>
      <protection/>
    </xf>
    <xf numFmtId="0" fontId="18"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 fillId="0" borderId="0" xfId="0" applyFont="1" applyBorder="1" applyAlignment="1" applyProtection="1">
      <alignment horizontal="left"/>
      <protection/>
    </xf>
    <xf numFmtId="0" fontId="0" fillId="0" borderId="0" xfId="0" applyFont="1" applyAlignment="1">
      <alignment horizontal="left"/>
    </xf>
    <xf numFmtId="179" fontId="1" fillId="0" borderId="11" xfId="0" applyNumberFormat="1" applyFont="1" applyFill="1" applyBorder="1" applyAlignment="1" applyProtection="1">
      <alignment horizontal="right"/>
      <protection/>
    </xf>
    <xf numFmtId="0" fontId="65" fillId="0" borderId="0" xfId="0" applyFont="1" applyFill="1" applyBorder="1" applyAlignment="1" applyProtection="1">
      <alignment/>
      <protection/>
    </xf>
    <xf numFmtId="0" fontId="65" fillId="0" borderId="0" xfId="0" applyFont="1" applyBorder="1" applyAlignment="1" applyProtection="1">
      <alignment/>
      <protection/>
    </xf>
    <xf numFmtId="3" fontId="61" fillId="0" borderId="0" xfId="0" applyNumberFormat="1" applyFont="1" applyBorder="1" applyAlignment="1" applyProtection="1">
      <alignment/>
      <protection/>
    </xf>
    <xf numFmtId="0" fontId="64" fillId="0" borderId="0" xfId="0" applyFont="1" applyAlignment="1">
      <alignment horizontal="right"/>
    </xf>
    <xf numFmtId="0" fontId="64" fillId="0" borderId="0" xfId="0" applyFont="1" applyAlignment="1">
      <alignment horizontal="center"/>
    </xf>
    <xf numFmtId="0" fontId="6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820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ystar.gov/index.cfm?c=thermostats.pr_thermostats_guideline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9"/>
  <sheetViews>
    <sheetView tabSelected="1" zoomScale="85" zoomScaleNormal="85" zoomScalePageLayoutView="0" workbookViewId="0" topLeftCell="A1">
      <selection activeCell="O22" sqref="O22"/>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11.421875" style="1" customWidth="1"/>
    <col min="11" max="11" width="9.710937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01" t="s">
        <v>0</v>
      </c>
      <c r="B7" s="201"/>
      <c r="C7" s="201"/>
      <c r="D7" s="201"/>
      <c r="E7" s="201"/>
      <c r="F7" s="201"/>
      <c r="G7" s="201"/>
      <c r="H7" s="201"/>
      <c r="I7" s="201"/>
      <c r="J7" s="201"/>
      <c r="K7" s="201"/>
      <c r="L7" s="201"/>
      <c r="M7" s="201"/>
    </row>
    <row r="8" spans="1:13" ht="15.75" customHeight="1">
      <c r="A8" s="201" t="str">
        <f>"an ENERGY STAR Qualified "&amp;IF(Assumptions!G51=2,"Oil","Gas")&amp;" Residential Furnace"</f>
        <v>an ENERGY STAR Qualified Gas Residential Furnace</v>
      </c>
      <c r="B8" s="201"/>
      <c r="C8" s="201"/>
      <c r="D8" s="201"/>
      <c r="E8" s="201"/>
      <c r="F8" s="201"/>
      <c r="G8" s="201"/>
      <c r="H8" s="201"/>
      <c r="I8" s="201"/>
      <c r="J8" s="201"/>
      <c r="K8" s="201"/>
      <c r="L8" s="201"/>
      <c r="M8" s="201"/>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202" t="s">
        <v>35</v>
      </c>
      <c r="B11" s="202"/>
      <c r="C11" s="202"/>
      <c r="D11" s="202"/>
      <c r="E11" s="202"/>
      <c r="F11" s="202"/>
      <c r="G11" s="202"/>
      <c r="H11" s="202"/>
      <c r="I11" s="202"/>
      <c r="J11" s="202"/>
      <c r="K11" s="202"/>
      <c r="L11" s="202"/>
      <c r="M11" s="202"/>
    </row>
    <row r="12" spans="1:13" s="3" customFormat="1" ht="12.75">
      <c r="A12" s="2"/>
      <c r="B12" s="2"/>
      <c r="C12" s="2"/>
      <c r="D12" s="2"/>
      <c r="E12" s="2"/>
      <c r="F12" s="2"/>
      <c r="G12" s="2"/>
      <c r="H12" s="2"/>
      <c r="I12" s="2"/>
      <c r="J12" s="2"/>
      <c r="K12" s="2"/>
      <c r="L12" s="2"/>
      <c r="M12" s="2"/>
    </row>
    <row r="13" ht="15.75" customHeight="1">
      <c r="A13" s="27"/>
    </row>
    <row r="14" spans="1:13" ht="15.75">
      <c r="A14" s="194" t="s">
        <v>1</v>
      </c>
      <c r="B14" s="194"/>
      <c r="C14" s="194"/>
      <c r="D14" s="194"/>
      <c r="E14" s="194"/>
      <c r="F14" s="194"/>
      <c r="G14" s="194"/>
      <c r="H14" s="194"/>
      <c r="I14" s="194"/>
      <c r="J14" s="194"/>
      <c r="K14" s="194"/>
      <c r="L14" s="194"/>
      <c r="M14" s="194"/>
    </row>
    <row r="15" spans="1:13" ht="4.5" customHeight="1">
      <c r="A15" s="42"/>
      <c r="B15" s="43"/>
      <c r="C15" s="43"/>
      <c r="D15" s="43"/>
      <c r="E15" s="43"/>
      <c r="F15" s="43"/>
      <c r="G15" s="43"/>
      <c r="H15" s="43"/>
      <c r="I15" s="43"/>
      <c r="J15" s="43"/>
      <c r="K15" s="43"/>
      <c r="L15" s="43"/>
      <c r="M15" s="4"/>
    </row>
    <row r="16" spans="1:13" ht="20.25" customHeight="1" thickBot="1">
      <c r="A16" s="138" t="s">
        <v>77</v>
      </c>
      <c r="B16" s="45"/>
      <c r="C16" s="45"/>
      <c r="D16" s="45"/>
      <c r="E16" s="45"/>
      <c r="F16" s="45"/>
      <c r="G16" s="45"/>
      <c r="H16" s="45"/>
      <c r="I16" s="45"/>
      <c r="J16" s="45"/>
      <c r="K16" s="45"/>
      <c r="L16" s="45"/>
      <c r="M16" s="8"/>
    </row>
    <row r="17" spans="1:13" ht="18" customHeight="1" thickBot="1">
      <c r="A17" s="10" t="str">
        <f>IF(Assumptions!G51=2,"Oil Rate ($/gal)","Gas Rate ($/therm)")</f>
        <v>Gas Rate ($/therm)</v>
      </c>
      <c r="B17" s="6"/>
      <c r="C17" s="146">
        <f>IF(Assumptions!G51=1,Assumptions!D234,Assumptions!D231)</f>
        <v>1.1712</v>
      </c>
      <c r="D17" s="7"/>
      <c r="E17" s="7"/>
      <c r="F17" s="7"/>
      <c r="G17" s="7"/>
      <c r="H17" s="7"/>
      <c r="I17" s="7"/>
      <c r="J17" s="7"/>
      <c r="K17" s="7"/>
      <c r="L17" s="7"/>
      <c r="M17" s="8"/>
    </row>
    <row r="18" spans="1:13" ht="24" customHeight="1" thickBot="1">
      <c r="A18" s="5" t="s">
        <v>125</v>
      </c>
      <c r="B18" s="7"/>
      <c r="C18" s="156"/>
      <c r="D18" s="39"/>
      <c r="E18" s="39"/>
      <c r="F18" s="39"/>
      <c r="G18" s="145"/>
      <c r="H18" s="7"/>
      <c r="I18" s="7"/>
      <c r="J18" s="7"/>
      <c r="K18" s="7"/>
      <c r="L18" s="7"/>
      <c r="M18" s="8"/>
    </row>
    <row r="19" spans="1:14" ht="18" customHeight="1" thickBot="1">
      <c r="A19" s="5" t="s">
        <v>78</v>
      </c>
      <c r="B19" s="6"/>
      <c r="C19" s="140">
        <f>Assumptions!D24</f>
        <v>2500</v>
      </c>
      <c r="D19" s="7"/>
      <c r="E19" s="7"/>
      <c r="F19" s="7"/>
      <c r="G19" s="7" t="s">
        <v>79</v>
      </c>
      <c r="H19" s="7"/>
      <c r="I19" s="7"/>
      <c r="J19" s="7"/>
      <c r="K19" s="7"/>
      <c r="L19" s="7"/>
      <c r="M19" s="8"/>
      <c r="N19" s="9"/>
    </row>
    <row r="20" spans="1:14" ht="18" customHeight="1">
      <c r="A20" s="5" t="s">
        <v>92</v>
      </c>
      <c r="B20" s="6"/>
      <c r="C20" s="6"/>
      <c r="D20" s="7"/>
      <c r="E20" s="7"/>
      <c r="F20" s="7"/>
      <c r="G20" s="7"/>
      <c r="H20" s="7"/>
      <c r="I20" s="7"/>
      <c r="J20" s="7"/>
      <c r="K20" s="7"/>
      <c r="L20" s="7"/>
      <c r="M20" s="8"/>
      <c r="N20" s="9"/>
    </row>
    <row r="21" spans="1:14" ht="22.5" customHeight="1">
      <c r="A21" s="5" t="s">
        <v>81</v>
      </c>
      <c r="B21" s="6"/>
      <c r="C21" s="6"/>
      <c r="D21" s="7"/>
      <c r="E21" s="7"/>
      <c r="F21" s="7"/>
      <c r="G21" s="7" t="s">
        <v>120</v>
      </c>
      <c r="H21" s="7"/>
      <c r="I21" s="7"/>
      <c r="J21" s="7"/>
      <c r="K21" s="7"/>
      <c r="L21" s="7"/>
      <c r="M21" s="8"/>
      <c r="N21" s="9"/>
    </row>
    <row r="22" spans="1:14" ht="33" customHeight="1">
      <c r="A22" s="11"/>
      <c r="B22" s="6"/>
      <c r="C22" s="12"/>
      <c r="D22" s="7"/>
      <c r="E22" s="7"/>
      <c r="F22" s="7"/>
      <c r="G22" s="7"/>
      <c r="H22" s="7"/>
      <c r="I22" s="7"/>
      <c r="J22" s="7"/>
      <c r="K22" s="7"/>
      <c r="L22" s="7"/>
      <c r="M22" s="8"/>
      <c r="N22" s="9"/>
    </row>
    <row r="23" spans="1:13" ht="27.75" customHeight="1">
      <c r="A23" s="56"/>
      <c r="B23" s="203" t="s">
        <v>122</v>
      </c>
      <c r="C23" s="203"/>
      <c r="D23" s="203"/>
      <c r="E23" s="45"/>
      <c r="F23" s="203" t="s">
        <v>121</v>
      </c>
      <c r="G23" s="203"/>
      <c r="H23" s="203"/>
      <c r="I23" s="45"/>
      <c r="J23" s="204"/>
      <c r="K23" s="204"/>
      <c r="L23" s="204"/>
      <c r="M23" s="8"/>
    </row>
    <row r="24" spans="1:13" ht="10.5" customHeight="1" thickBot="1">
      <c r="A24" s="44"/>
      <c r="B24" s="45"/>
      <c r="C24" s="45"/>
      <c r="D24" s="45"/>
      <c r="E24" s="45"/>
      <c r="F24" s="45"/>
      <c r="G24" s="64"/>
      <c r="H24" s="45"/>
      <c r="I24" s="45"/>
      <c r="J24" s="45"/>
      <c r="K24" s="45"/>
      <c r="L24" s="45"/>
      <c r="M24" s="8"/>
    </row>
    <row r="25" spans="1:13" ht="15.75" customHeight="1" thickBot="1">
      <c r="A25" s="5" t="s">
        <v>124</v>
      </c>
      <c r="B25" s="7"/>
      <c r="C25" s="66">
        <f>Assumptions!D6</f>
        <v>1100</v>
      </c>
      <c r="D25" s="13"/>
      <c r="E25" s="13"/>
      <c r="F25" s="13"/>
      <c r="G25" s="66">
        <f>IF(Assumptions!G16=8,Assumptions!D14,0)</f>
        <v>780</v>
      </c>
      <c r="H25" s="13"/>
      <c r="I25" s="13"/>
      <c r="J25" s="14"/>
      <c r="K25" s="7"/>
      <c r="L25" s="13"/>
      <c r="M25" s="8"/>
    </row>
    <row r="26" spans="1:13" ht="15.75" customHeight="1" thickBot="1">
      <c r="A26" s="5" t="s">
        <v>42</v>
      </c>
      <c r="B26" s="7"/>
      <c r="C26" s="141">
        <f>Assumptions!H65</f>
        <v>0.9</v>
      </c>
      <c r="D26" s="89"/>
      <c r="E26" s="89"/>
      <c r="F26" s="89"/>
      <c r="G26" s="141">
        <f>Assumptions!K16</f>
        <v>0.78</v>
      </c>
      <c r="H26" s="13"/>
      <c r="I26" s="13"/>
      <c r="J26" s="14"/>
      <c r="K26" s="7"/>
      <c r="L26" s="13"/>
      <c r="M26" s="8"/>
    </row>
    <row r="27" spans="1:13" ht="15.75" customHeight="1">
      <c r="A27" s="5" t="s">
        <v>38</v>
      </c>
      <c r="B27" s="7"/>
      <c r="C27" s="90"/>
      <c r="D27" s="13"/>
      <c r="E27" s="13"/>
      <c r="F27" s="13"/>
      <c r="G27" s="90"/>
      <c r="H27" s="200" t="s">
        <v>344</v>
      </c>
      <c r="I27" s="200"/>
      <c r="J27" s="200"/>
      <c r="K27" s="200"/>
      <c r="L27" s="13"/>
      <c r="M27" s="8"/>
    </row>
    <row r="28" spans="1:13" ht="24" customHeight="1">
      <c r="A28" s="170"/>
      <c r="B28" s="7"/>
      <c r="C28" s="199" t="str">
        <f>IF(OR(Assumptions!G57=1,Assumptions!G60=1),"You have selected the programmable thermostate option, your savings are calculated based on ENERGY STAR suggested thermostat usage shown in the link above, your actual savings may vary.","")</f>
        <v>You have selected the programmable thermostate option, your savings are calculated based on ENERGY STAR suggested thermostat usage shown in the link above, your actual savings may vary.</v>
      </c>
      <c r="D28" s="199"/>
      <c r="E28" s="199"/>
      <c r="F28" s="199"/>
      <c r="G28" s="199"/>
      <c r="H28" s="199"/>
      <c r="I28" s="199"/>
      <c r="J28" s="199"/>
      <c r="K28" s="7"/>
      <c r="L28" s="13"/>
      <c r="M28" s="8"/>
    </row>
    <row r="29" spans="1:13" ht="15.75" customHeight="1">
      <c r="A29" s="169"/>
      <c r="B29" s="7"/>
      <c r="C29" s="199"/>
      <c r="D29" s="199"/>
      <c r="E29" s="199"/>
      <c r="F29" s="199"/>
      <c r="G29" s="199"/>
      <c r="H29" s="199"/>
      <c r="I29" s="199"/>
      <c r="J29" s="199"/>
      <c r="K29" s="7"/>
      <c r="L29" s="13"/>
      <c r="M29" s="8"/>
    </row>
    <row r="30" spans="1:13" ht="4.5" customHeight="1">
      <c r="A30" s="15"/>
      <c r="B30" s="16"/>
      <c r="C30" s="59"/>
      <c r="D30" s="16"/>
      <c r="E30" s="16"/>
      <c r="F30" s="16"/>
      <c r="G30" s="60"/>
      <c r="H30" s="16"/>
      <c r="I30" s="16"/>
      <c r="J30" s="16"/>
      <c r="K30" s="16"/>
      <c r="L30" s="16"/>
      <c r="M30" s="17"/>
    </row>
    <row r="31" ht="14.25" customHeight="1">
      <c r="A31" s="46"/>
    </row>
    <row r="32" ht="15.75" customHeight="1">
      <c r="A32" s="47"/>
    </row>
    <row r="33" spans="1:13" ht="15.75">
      <c r="A33" s="194" t="str">
        <f>"Annual and Life Cycle Costs and Savings for a "&amp;IF(Assumptions!G51=2,"Oil","Gas")&amp;" Furnace"</f>
        <v>Annual and Life Cycle Costs and Savings for a Gas Furnace</v>
      </c>
      <c r="B33" s="194"/>
      <c r="C33" s="194"/>
      <c r="D33" s="194"/>
      <c r="E33" s="194"/>
      <c r="F33" s="194"/>
      <c r="G33" s="194"/>
      <c r="H33" s="194"/>
      <c r="I33" s="194"/>
      <c r="J33" s="194"/>
      <c r="K33" s="194"/>
      <c r="L33" s="194"/>
      <c r="M33" s="194"/>
    </row>
    <row r="34" spans="1:13" ht="31.5" customHeight="1">
      <c r="A34" s="18"/>
      <c r="B34" s="196" t="str">
        <f>"ENERGY STAR Qualified Unit"</f>
        <v>ENERGY STAR Qualified Unit</v>
      </c>
      <c r="C34" s="196"/>
      <c r="D34" s="196"/>
      <c r="E34" s="48"/>
      <c r="F34" s="196" t="str">
        <f>"Conventional Unit"</f>
        <v>Conventional Unit</v>
      </c>
      <c r="G34" s="196"/>
      <c r="H34" s="196"/>
      <c r="I34" s="48"/>
      <c r="J34" s="196" t="s">
        <v>4</v>
      </c>
      <c r="K34" s="196"/>
      <c r="L34" s="196"/>
      <c r="M34" s="19"/>
    </row>
    <row r="35" spans="1:13" ht="15.75" customHeight="1">
      <c r="A35" s="57" t="s">
        <v>28</v>
      </c>
      <c r="B35" s="20"/>
      <c r="C35" s="20"/>
      <c r="D35" s="20"/>
      <c r="E35" s="20"/>
      <c r="F35" s="20"/>
      <c r="G35" s="20"/>
      <c r="H35" s="20"/>
      <c r="I35" s="20"/>
      <c r="J35" s="20"/>
      <c r="K35" s="20"/>
      <c r="L35" s="20"/>
      <c r="M35" s="21"/>
    </row>
    <row r="36" spans="1:13" ht="15.75" customHeight="1">
      <c r="A36" s="22" t="s">
        <v>5</v>
      </c>
      <c r="B36" s="20"/>
      <c r="C36" s="82">
        <f>$C$17*$C$38</f>
        <v>596.4324288000001</v>
      </c>
      <c r="D36" s="20"/>
      <c r="E36" s="20"/>
      <c r="F36" s="20"/>
      <c r="G36" s="82">
        <f>$C$17*$G$38</f>
        <v>878.4</v>
      </c>
      <c r="H36" s="20"/>
      <c r="I36" s="20"/>
      <c r="J36" s="20"/>
      <c r="K36" s="23">
        <f>G36-C36</f>
        <v>281.96757119999984</v>
      </c>
      <c r="L36" s="20"/>
      <c r="M36" s="21"/>
    </row>
    <row r="37" spans="1:13" s="3" customFormat="1" ht="15.75" customHeight="1" outlineLevel="1">
      <c r="A37" s="83" t="s">
        <v>104</v>
      </c>
      <c r="B37" s="84"/>
      <c r="C37" s="85">
        <f>$C$19*Assumptions!D27/($C$26)/1000*IF(Assumptions!G57=1,(1-Assumptions!D221),1)</f>
        <v>50.924900000000015</v>
      </c>
      <c r="D37" s="86"/>
      <c r="E37" s="86"/>
      <c r="F37" s="86"/>
      <c r="G37" s="85">
        <f>$C$19*Assumptions!D27/($G$26)/1000*IF(Assumptions!G60=1,(1-Assumptions!D221),1)</f>
        <v>75</v>
      </c>
      <c r="H37" s="86"/>
      <c r="I37" s="86"/>
      <c r="J37" s="86"/>
      <c r="K37" s="85">
        <f>G37-C37</f>
        <v>24.075099999999985</v>
      </c>
      <c r="L37" s="86"/>
      <c r="M37" s="87"/>
    </row>
    <row r="38" spans="1:13" s="3" customFormat="1" ht="15.75" customHeight="1" outlineLevel="1">
      <c r="A38" s="83" t="str">
        <f>IF(Assumptions!G51=1,Assumptions!I48,Assumptions!I49)</f>
        <v>Energy Consumption (Therms)</v>
      </c>
      <c r="B38" s="84"/>
      <c r="C38" s="85">
        <f>IF(Assumptions!$G$51=1,'Furnace Calc'!$C$37/Assumptions!$D$228,'Furnace Calc'!$C$37/Assumptions!$D$227)*1000000</f>
        <v>509.24900000000014</v>
      </c>
      <c r="D38" s="86"/>
      <c r="E38" s="86"/>
      <c r="F38" s="86"/>
      <c r="G38" s="85">
        <f>IF(Assumptions!$G$51=1,'Furnace Calc'!$G$37/Assumptions!$D$228,'Furnace Calc'!$G$37/Assumptions!$D$227)*1000000</f>
        <v>750</v>
      </c>
      <c r="H38" s="86"/>
      <c r="I38" s="86"/>
      <c r="J38" s="86"/>
      <c r="K38" s="85">
        <f>G38-C38</f>
        <v>240.75099999999986</v>
      </c>
      <c r="L38" s="86"/>
      <c r="M38" s="87"/>
    </row>
    <row r="39" spans="1:13" ht="15.75" customHeight="1">
      <c r="A39" s="69" t="s">
        <v>6</v>
      </c>
      <c r="B39" s="20"/>
      <c r="C39" s="68">
        <f>(Assumptions!$D$21*Assumptions!$D$22)</f>
        <v>0</v>
      </c>
      <c r="D39" s="20"/>
      <c r="E39" s="20"/>
      <c r="F39" s="20"/>
      <c r="G39" s="68">
        <f>Assumptions!$D$21*Assumptions!$D$22</f>
        <v>0</v>
      </c>
      <c r="H39" s="20"/>
      <c r="I39" s="20"/>
      <c r="J39" s="20"/>
      <c r="K39" s="23">
        <f>G39-C39</f>
        <v>0</v>
      </c>
      <c r="L39" s="20"/>
      <c r="M39" s="21"/>
    </row>
    <row r="40" spans="1:13" s="27" customFormat="1" ht="15.75" customHeight="1">
      <c r="A40" s="58" t="s">
        <v>7</v>
      </c>
      <c r="B40" s="25"/>
      <c r="C40" s="51">
        <f>C36+C39</f>
        <v>596.4324288000001</v>
      </c>
      <c r="D40" s="25"/>
      <c r="E40" s="25"/>
      <c r="F40" s="25"/>
      <c r="G40" s="51">
        <f>G36+G39</f>
        <v>878.4</v>
      </c>
      <c r="H40" s="25"/>
      <c r="I40" s="25"/>
      <c r="J40" s="25"/>
      <c r="K40" s="51">
        <f>K36+K39</f>
        <v>281.96757119999984</v>
      </c>
      <c r="L40" s="25"/>
      <c r="M40" s="26"/>
    </row>
    <row r="41" spans="1:13" ht="15.75" customHeight="1">
      <c r="A41" s="22"/>
      <c r="B41" s="20"/>
      <c r="C41" s="20"/>
      <c r="D41" s="20"/>
      <c r="E41" s="20"/>
      <c r="F41" s="20"/>
      <c r="G41" s="20"/>
      <c r="H41" s="20"/>
      <c r="I41" s="20"/>
      <c r="J41" s="20"/>
      <c r="K41" s="20"/>
      <c r="L41" s="20"/>
      <c r="M41" s="21"/>
    </row>
    <row r="42" spans="1:13" ht="15.75" customHeight="1">
      <c r="A42" s="57" t="s">
        <v>29</v>
      </c>
      <c r="B42" s="20"/>
      <c r="C42" s="20"/>
      <c r="D42" s="20"/>
      <c r="E42" s="20"/>
      <c r="F42" s="20"/>
      <c r="G42" s="20"/>
      <c r="H42" s="20"/>
      <c r="I42" s="20"/>
      <c r="J42" s="20"/>
      <c r="K42" s="20"/>
      <c r="L42" s="20"/>
      <c r="M42" s="21"/>
    </row>
    <row r="43" spans="1:13" ht="15.75" customHeight="1">
      <c r="A43" s="40" t="s">
        <v>41</v>
      </c>
      <c r="B43" s="20"/>
      <c r="C43" s="23">
        <f>C44+C47</f>
        <v>7550.415241530992</v>
      </c>
      <c r="D43" s="20"/>
      <c r="E43" s="20"/>
      <c r="F43" s="20"/>
      <c r="G43" s="23">
        <f>G44+G47</f>
        <v>11119.926462591467</v>
      </c>
      <c r="H43" s="20"/>
      <c r="I43" s="20"/>
      <c r="J43" s="20"/>
      <c r="K43" s="23">
        <f aca="true" t="shared" si="0" ref="K43:K48">G43-C43</f>
        <v>3569.5112210604757</v>
      </c>
      <c r="L43" s="20"/>
      <c r="M43" s="21"/>
    </row>
    <row r="44" spans="1:13" ht="15.75" customHeight="1">
      <c r="A44" s="24" t="s">
        <v>37</v>
      </c>
      <c r="B44" s="20"/>
      <c r="C44" s="23">
        <f>PV(Assumptions!D224,Assumptions!D11,-C36,,0)</f>
        <v>7550.415241530992</v>
      </c>
      <c r="D44" s="20"/>
      <c r="E44" s="20"/>
      <c r="F44" s="20"/>
      <c r="G44" s="23">
        <f>PV(Assumptions!D224,Assumptions!D11,-G36,,0)</f>
        <v>11119.926462591467</v>
      </c>
      <c r="H44" s="20"/>
      <c r="I44" s="20"/>
      <c r="J44" s="20"/>
      <c r="K44" s="23">
        <f t="shared" si="0"/>
        <v>3569.5112210604757</v>
      </c>
      <c r="L44" s="20"/>
      <c r="M44" s="21"/>
    </row>
    <row r="45" spans="1:13" s="3" customFormat="1" ht="15.75" customHeight="1" hidden="1" outlineLevel="1">
      <c r="A45" s="83" t="str">
        <f>A37</f>
        <v>Energy Consumption (MMBTU)</v>
      </c>
      <c r="B45" s="84"/>
      <c r="C45" s="85">
        <f>C37*Assumptions!D11</f>
        <v>916.6482000000003</v>
      </c>
      <c r="D45" s="86"/>
      <c r="E45" s="86"/>
      <c r="F45" s="86"/>
      <c r="G45" s="85">
        <f>G37*Assumptions!D11</f>
        <v>1350</v>
      </c>
      <c r="H45" s="86"/>
      <c r="I45" s="86"/>
      <c r="J45" s="86"/>
      <c r="K45" s="85">
        <f t="shared" si="0"/>
        <v>433.3517999999997</v>
      </c>
      <c r="L45" s="88"/>
      <c r="M45" s="87"/>
    </row>
    <row r="46" spans="1:13" s="3" customFormat="1" ht="15.75" customHeight="1" hidden="1" outlineLevel="1">
      <c r="A46" s="83" t="str">
        <f>A38</f>
        <v>Energy Consumption (Therms)</v>
      </c>
      <c r="B46" s="84"/>
      <c r="C46" s="85">
        <f>C38*Assumptions!D11</f>
        <v>9166.482000000002</v>
      </c>
      <c r="D46" s="86"/>
      <c r="E46" s="86"/>
      <c r="F46" s="86"/>
      <c r="G46" s="85">
        <f>G38*Assumptions!D11</f>
        <v>13500</v>
      </c>
      <c r="H46" s="86"/>
      <c r="I46" s="86"/>
      <c r="J46" s="86"/>
      <c r="K46" s="85">
        <f t="shared" si="0"/>
        <v>4333.517999999998</v>
      </c>
      <c r="L46" s="88"/>
      <c r="M46" s="87"/>
    </row>
    <row r="47" spans="1:13" ht="15.75" customHeight="1" collapsed="1">
      <c r="A47" s="24" t="s">
        <v>36</v>
      </c>
      <c r="B47" s="20"/>
      <c r="C47" s="23">
        <f>PV(Assumptions!D224,Assumptions!D11,-C39,,0)</f>
        <v>0</v>
      </c>
      <c r="D47" s="20"/>
      <c r="E47" s="20"/>
      <c r="F47" s="20"/>
      <c r="G47" s="23">
        <f>PV(Assumptions!D224,Assumptions!D11,-G39,,0)</f>
        <v>0</v>
      </c>
      <c r="H47" s="20"/>
      <c r="I47" s="20"/>
      <c r="J47" s="20"/>
      <c r="K47" s="23">
        <f t="shared" si="0"/>
        <v>0</v>
      </c>
      <c r="L47" s="20"/>
      <c r="M47" s="21"/>
    </row>
    <row r="48" spans="1:13" ht="15.75" customHeight="1">
      <c r="A48" s="22" t="str">
        <f>"Purchase price"</f>
        <v>Purchase price</v>
      </c>
      <c r="B48" s="20"/>
      <c r="C48" s="70">
        <f>C25</f>
        <v>1100</v>
      </c>
      <c r="D48" s="20"/>
      <c r="E48" s="20"/>
      <c r="F48" s="20"/>
      <c r="G48" s="23">
        <f>G25</f>
        <v>780</v>
      </c>
      <c r="H48" s="20"/>
      <c r="I48" s="20"/>
      <c r="J48" s="20"/>
      <c r="K48" s="23">
        <f t="shared" si="0"/>
        <v>-320</v>
      </c>
      <c r="L48" s="20"/>
      <c r="M48" s="21"/>
    </row>
    <row r="49" spans="1:13" s="27" customFormat="1" ht="15.75" customHeight="1">
      <c r="A49" s="58" t="s">
        <v>7</v>
      </c>
      <c r="B49" s="20"/>
      <c r="C49" s="71">
        <f>C43+C48</f>
        <v>8650.41524153099</v>
      </c>
      <c r="D49" s="25"/>
      <c r="E49" s="25"/>
      <c r="F49" s="25"/>
      <c r="G49" s="51">
        <f>G43+G48</f>
        <v>11899.926462591467</v>
      </c>
      <c r="H49" s="25"/>
      <c r="I49" s="25"/>
      <c r="J49" s="25"/>
      <c r="K49" s="51">
        <f>K43+K48</f>
        <v>3249.5112210604757</v>
      </c>
      <c r="L49" s="25"/>
      <c r="M49" s="26"/>
    </row>
    <row r="50" spans="1:13" s="27" customFormat="1" ht="15.75" customHeight="1">
      <c r="A50" s="50"/>
      <c r="B50" s="25"/>
      <c r="C50" s="52"/>
      <c r="D50" s="25"/>
      <c r="E50" s="25"/>
      <c r="F50" s="25"/>
      <c r="G50" s="52"/>
      <c r="H50" s="25"/>
      <c r="I50" s="25"/>
      <c r="J50" s="25"/>
      <c r="K50" s="52"/>
      <c r="L50" s="25"/>
      <c r="M50" s="26"/>
    </row>
    <row r="51" spans="1:13" ht="15.75" customHeight="1">
      <c r="A51" s="49"/>
      <c r="B51" s="20"/>
      <c r="C51" s="20"/>
      <c r="D51" s="20"/>
      <c r="E51" s="20"/>
      <c r="F51" s="20"/>
      <c r="G51" s="20"/>
      <c r="H51" s="20"/>
      <c r="I51" s="20"/>
      <c r="J51" s="28" t="s">
        <v>8</v>
      </c>
      <c r="K51" s="63">
        <f>IF(K59&lt;=0,0,IF(K40&lt;0,"N/A",IF(K40=0,"&gt;"&amp;Assumptions!D11&amp;"",IF(K59/K40&gt;Assumptions!D11,"&gt;"&amp;Assumptions!D11&amp;"",K59/K40))))</f>
        <v>1.1348822796825233</v>
      </c>
      <c r="L51" s="20"/>
      <c r="M51" s="21"/>
    </row>
    <row r="52" spans="1:13" ht="4.5" customHeight="1">
      <c r="A52" s="29"/>
      <c r="B52" s="30"/>
      <c r="C52" s="30"/>
      <c r="D52" s="30"/>
      <c r="E52" s="30"/>
      <c r="F52" s="30"/>
      <c r="G52" s="30"/>
      <c r="H52" s="30"/>
      <c r="I52" s="30"/>
      <c r="J52" s="30"/>
      <c r="K52" s="30"/>
      <c r="L52" s="30"/>
      <c r="M52" s="31"/>
    </row>
    <row r="53" spans="1:13" ht="24" customHeight="1">
      <c r="A53" s="197" t="s">
        <v>30</v>
      </c>
      <c r="B53" s="198"/>
      <c r="C53" s="198"/>
      <c r="D53" s="198"/>
      <c r="E53" s="198"/>
      <c r="F53" s="198"/>
      <c r="G53" s="198"/>
      <c r="H53" s="198"/>
      <c r="I53" s="198"/>
      <c r="J53" s="198"/>
      <c r="K53" s="198"/>
      <c r="L53" s="198"/>
      <c r="M53" s="198"/>
    </row>
    <row r="54" spans="1:13" ht="13.5">
      <c r="A54" s="195" t="s">
        <v>31</v>
      </c>
      <c r="B54" s="195"/>
      <c r="C54" s="195"/>
      <c r="D54" s="195"/>
      <c r="E54" s="195"/>
      <c r="F54" s="195"/>
      <c r="G54" s="195"/>
      <c r="H54" s="195"/>
      <c r="I54" s="195"/>
      <c r="J54" s="195"/>
      <c r="K54" s="195"/>
      <c r="L54" s="195"/>
      <c r="M54" s="195"/>
    </row>
    <row r="55" spans="1:13" ht="14.25">
      <c r="A55" s="53"/>
      <c r="B55" s="53"/>
      <c r="C55" s="53"/>
      <c r="D55" s="53"/>
      <c r="E55" s="53"/>
      <c r="F55" s="53"/>
      <c r="G55" s="53"/>
      <c r="H55" s="53"/>
      <c r="I55" s="53"/>
      <c r="J55" s="53"/>
      <c r="K55" s="53"/>
      <c r="L55" s="53"/>
      <c r="M55" s="53"/>
    </row>
    <row r="56" ht="15" customHeight="1"/>
    <row r="57" spans="1:13" ht="15.75" customHeight="1">
      <c r="A57" s="194" t="str">
        <f>"Summary of Benefits for a "&amp;IF(Assumptions!G51=2,"Oil","Gas")&amp;" Furnace"</f>
        <v>Summary of Benefits for a Gas Furnace</v>
      </c>
      <c r="B57" s="194"/>
      <c r="C57" s="194"/>
      <c r="D57" s="194"/>
      <c r="E57" s="194"/>
      <c r="F57" s="194"/>
      <c r="G57" s="194"/>
      <c r="H57" s="194"/>
      <c r="I57" s="194"/>
      <c r="J57" s="194"/>
      <c r="K57" s="194"/>
      <c r="L57" s="194"/>
      <c r="M57" s="194"/>
    </row>
    <row r="58" spans="1:13" ht="4.5" customHeight="1">
      <c r="A58" s="32" t="s">
        <v>9</v>
      </c>
      <c r="B58" s="33"/>
      <c r="C58" s="33"/>
      <c r="D58" s="33"/>
      <c r="E58" s="33"/>
      <c r="F58" s="33"/>
      <c r="G58" s="33"/>
      <c r="H58" s="33"/>
      <c r="I58" s="33"/>
      <c r="J58" s="33"/>
      <c r="K58" s="33"/>
      <c r="L58" s="33"/>
      <c r="M58" s="34"/>
    </row>
    <row r="59" spans="1:13" ht="15.75" customHeight="1">
      <c r="A59" s="35" t="s">
        <v>10</v>
      </c>
      <c r="B59" s="55"/>
      <c r="C59" s="55"/>
      <c r="D59" s="55"/>
      <c r="E59" s="55"/>
      <c r="F59" s="55"/>
      <c r="G59" s="55"/>
      <c r="H59" s="55"/>
      <c r="I59" s="55"/>
      <c r="J59" s="55"/>
      <c r="K59" s="130">
        <f>(C25-G25)</f>
        <v>320</v>
      </c>
      <c r="L59" s="72"/>
      <c r="M59" s="77"/>
    </row>
    <row r="60" spans="1:13" ht="15.75" customHeight="1">
      <c r="A60" s="35" t="s">
        <v>11</v>
      </c>
      <c r="B60" s="55"/>
      <c r="C60" s="55"/>
      <c r="D60" s="55"/>
      <c r="E60" s="55"/>
      <c r="F60" s="55"/>
      <c r="G60" s="55"/>
      <c r="H60" s="55"/>
      <c r="I60" s="55"/>
      <c r="J60" s="55"/>
      <c r="K60" s="130">
        <f>K43</f>
        <v>3569.5112210604757</v>
      </c>
      <c r="L60" s="72"/>
      <c r="M60" s="77"/>
    </row>
    <row r="61" spans="1:13" ht="15.75" customHeight="1">
      <c r="A61" s="35" t="s">
        <v>12</v>
      </c>
      <c r="B61" s="55"/>
      <c r="C61" s="55"/>
      <c r="D61" s="55"/>
      <c r="E61" s="55"/>
      <c r="F61" s="55"/>
      <c r="G61" s="55"/>
      <c r="H61" s="55"/>
      <c r="I61" s="55"/>
      <c r="J61" s="55"/>
      <c r="K61" s="130">
        <f>K49</f>
        <v>3249.5112210604757</v>
      </c>
      <c r="L61" s="72"/>
      <c r="M61" s="77"/>
    </row>
    <row r="62" spans="1:13" ht="15.75" customHeight="1">
      <c r="A62" s="35" t="s">
        <v>13</v>
      </c>
      <c r="B62" s="55"/>
      <c r="C62" s="55"/>
      <c r="D62" s="55"/>
      <c r="E62" s="55"/>
      <c r="F62" s="55"/>
      <c r="G62" s="55"/>
      <c r="H62" s="55"/>
      <c r="I62" s="55"/>
      <c r="J62" s="55"/>
      <c r="K62" s="131">
        <f>K51</f>
        <v>1.1348822796825233</v>
      </c>
      <c r="L62" s="73"/>
      <c r="M62" s="78"/>
    </row>
    <row r="63" spans="1:13" ht="15.75" customHeight="1">
      <c r="A63" s="35" t="s">
        <v>45</v>
      </c>
      <c r="B63" s="55"/>
      <c r="C63" s="55"/>
      <c r="D63" s="55"/>
      <c r="E63" s="55"/>
      <c r="F63" s="55"/>
      <c r="G63" s="55"/>
      <c r="H63" s="55"/>
      <c r="I63" s="55"/>
      <c r="J63" s="55"/>
      <c r="K63" s="132">
        <f>K45</f>
        <v>433.3517999999997</v>
      </c>
      <c r="L63" s="74"/>
      <c r="M63" s="79"/>
    </row>
    <row r="64" spans="1:13" ht="15.75" customHeight="1">
      <c r="A64" s="35" t="s">
        <v>14</v>
      </c>
      <c r="B64" s="55"/>
      <c r="C64" s="55"/>
      <c r="D64" s="55"/>
      <c r="E64" s="55"/>
      <c r="F64" s="55"/>
      <c r="G64" s="55"/>
      <c r="H64" s="55"/>
      <c r="I64" s="55"/>
      <c r="J64" s="55"/>
      <c r="K64" s="132">
        <f>K63*IF(Assumptions!G51=1,Assumptions!D238,Assumptions!D237)</f>
        <v>50689.16004599996</v>
      </c>
      <c r="L64" s="74"/>
      <c r="M64" s="79"/>
    </row>
    <row r="65" spans="1:13" ht="15.75" customHeight="1">
      <c r="A65" s="35" t="s">
        <v>15</v>
      </c>
      <c r="B65" s="55"/>
      <c r="C65" s="55"/>
      <c r="D65" s="55"/>
      <c r="E65" s="55"/>
      <c r="F65" s="55"/>
      <c r="G65" s="55"/>
      <c r="H65" s="55"/>
      <c r="I65" s="55"/>
      <c r="J65" s="55"/>
      <c r="K65" s="132">
        <f>K64/Assumptions!D242</f>
        <v>4.419281608195289</v>
      </c>
      <c r="L65" s="75"/>
      <c r="M65" s="80"/>
    </row>
    <row r="66" spans="1:13" ht="15.75" customHeight="1">
      <c r="A66" s="35" t="s">
        <v>16</v>
      </c>
      <c r="B66" s="55"/>
      <c r="C66" s="55"/>
      <c r="D66" s="55"/>
      <c r="E66" s="55"/>
      <c r="F66" s="55"/>
      <c r="G66" s="55"/>
      <c r="H66" s="55"/>
      <c r="I66" s="55"/>
      <c r="J66" s="55"/>
      <c r="K66" s="132">
        <f>K64/Assumptions!D241</f>
        <v>6.284299534589631</v>
      </c>
      <c r="L66" s="75"/>
      <c r="M66" s="80"/>
    </row>
    <row r="67" spans="1:13" ht="15.75" customHeight="1">
      <c r="A67" s="61" t="s">
        <v>17</v>
      </c>
      <c r="B67" s="55"/>
      <c r="C67" s="55"/>
      <c r="D67" s="55"/>
      <c r="E67" s="55"/>
      <c r="F67" s="55"/>
      <c r="G67" s="55"/>
      <c r="H67" s="55"/>
      <c r="I67" s="55"/>
      <c r="J67" s="55"/>
      <c r="K67" s="133">
        <f>K49/(C25)</f>
        <v>2.954101110054978</v>
      </c>
      <c r="L67" s="76"/>
      <c r="M67" s="81"/>
    </row>
    <row r="68" spans="1:13" s="38" customFormat="1" ht="4.5" customHeight="1">
      <c r="A68" s="62"/>
      <c r="B68" s="36"/>
      <c r="C68" s="36"/>
      <c r="D68" s="36"/>
      <c r="E68" s="36"/>
      <c r="F68" s="36"/>
      <c r="G68" s="36"/>
      <c r="H68" s="36"/>
      <c r="I68" s="36"/>
      <c r="J68" s="36"/>
      <c r="K68" s="36"/>
      <c r="L68" s="36"/>
      <c r="M68" s="37"/>
    </row>
    <row r="69" s="38" customFormat="1" ht="15.75" customHeight="1">
      <c r="A69" s="54"/>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sheetProtection/>
  <mergeCells count="16">
    <mergeCell ref="C28:J29"/>
    <mergeCell ref="H27:K27"/>
    <mergeCell ref="A7:M7"/>
    <mergeCell ref="A8:M8"/>
    <mergeCell ref="A11:M11"/>
    <mergeCell ref="A14:M14"/>
    <mergeCell ref="B23:D23"/>
    <mergeCell ref="F23:H23"/>
    <mergeCell ref="J23:L23"/>
    <mergeCell ref="A33:M33"/>
    <mergeCell ref="A54:M54"/>
    <mergeCell ref="A57:M57"/>
    <mergeCell ref="B34:D34"/>
    <mergeCell ref="F34:H34"/>
    <mergeCell ref="J34:L34"/>
    <mergeCell ref="A53:M53"/>
  </mergeCells>
  <dataValidations count="2">
    <dataValidation type="decimal" operator="greaterThan" allowBlank="1" showInputMessage="1" showErrorMessage="1" error="Please enter a positive value" sqref="C25:F26 G25">
      <formula1>0</formula1>
    </dataValidation>
    <dataValidation type="decimal" operator="greaterThan" allowBlank="1" showInputMessage="1" showErrorMessage="1" error="Please enter a positive value. Thank you" sqref="C17">
      <formula1>0</formula1>
    </dataValidation>
  </dataValidations>
  <hyperlinks>
    <hyperlink ref="H27:K27" r:id="rId1" display="Thermostat Usage Guidelines"/>
  </hyperlinks>
  <printOptions horizontalCentered="1"/>
  <pageMargins left="1" right="1" top="0.5" bottom="0.5" header="0.25" footer="0.25"/>
  <pageSetup fitToHeight="1" fitToWidth="1" horizontalDpi="600" verticalDpi="600" orientation="portrait" scale="65" r:id="rId4"/>
  <drawing r:id="rId3"/>
  <legacyDrawing r:id="rId2"/>
</worksheet>
</file>

<file path=xl/worksheets/sheet2.xml><?xml version="1.0" encoding="utf-8"?>
<worksheet xmlns="http://schemas.openxmlformats.org/spreadsheetml/2006/main" xmlns:r="http://schemas.openxmlformats.org/officeDocument/2006/relationships">
  <dimension ref="A1:W252"/>
  <sheetViews>
    <sheetView zoomScale="85" zoomScaleNormal="85" zoomScalePageLayoutView="0" workbookViewId="0" topLeftCell="C1">
      <selection activeCell="H12" sqref="H12"/>
    </sheetView>
  </sheetViews>
  <sheetFormatPr defaultColWidth="9.140625" defaultRowHeight="12.75"/>
  <cols>
    <col min="1" max="2" width="7.00390625" style="1" hidden="1" customWidth="1"/>
    <col min="3" max="3" width="55.8515625" style="91" customWidth="1"/>
    <col min="4" max="4" width="14.140625" style="123" customWidth="1"/>
    <col min="5" max="5" width="16.140625" style="124" bestFit="1" customWidth="1"/>
    <col min="6" max="6" width="49.421875" style="38" customWidth="1"/>
    <col min="7" max="7" width="11.140625" style="171" customWidth="1"/>
    <col min="8" max="8" width="15.8515625" style="171" customWidth="1"/>
    <col min="9" max="9" width="8.421875" style="171" bestFit="1" customWidth="1"/>
    <col min="10" max="12" width="9.140625" style="172" customWidth="1"/>
    <col min="13" max="13" width="12.421875" style="172" bestFit="1" customWidth="1"/>
    <col min="14" max="14" width="11.7109375" style="172" bestFit="1" customWidth="1"/>
    <col min="15" max="15" width="10.421875" style="172" customWidth="1"/>
    <col min="16" max="16" width="16.00390625" style="172" customWidth="1"/>
    <col min="17" max="17" width="16.421875" style="172" customWidth="1"/>
    <col min="18" max="19" width="9.140625" style="172" customWidth="1"/>
    <col min="20" max="22" width="9.140625" style="91" customWidth="1"/>
    <col min="23" max="16384" width="9.140625" style="1" customWidth="1"/>
  </cols>
  <sheetData>
    <row r="1" spans="3:10" ht="15.75">
      <c r="C1" s="205" t="s">
        <v>51</v>
      </c>
      <c r="D1" s="206"/>
      <c r="E1" s="206"/>
      <c r="F1" s="207"/>
      <c r="G1" s="212"/>
      <c r="H1" s="212"/>
      <c r="I1" s="212"/>
      <c r="J1" s="213"/>
    </row>
    <row r="2" spans="3:10" ht="15.75">
      <c r="C2" s="92"/>
      <c r="D2" s="93"/>
      <c r="E2" s="93"/>
      <c r="F2" s="94"/>
      <c r="G2" s="212"/>
      <c r="H2" s="212"/>
      <c r="I2" s="212"/>
      <c r="J2" s="213"/>
    </row>
    <row r="3" spans="3:6" ht="15">
      <c r="C3" s="125" t="s">
        <v>18</v>
      </c>
      <c r="D3" s="208" t="s">
        <v>19</v>
      </c>
      <c r="E3" s="208"/>
      <c r="F3" s="95" t="s">
        <v>20</v>
      </c>
    </row>
    <row r="4" spans="3:6" ht="15">
      <c r="C4" s="96" t="s">
        <v>21</v>
      </c>
      <c r="D4" s="97"/>
      <c r="E4" s="98"/>
      <c r="F4" s="99"/>
    </row>
    <row r="5" spans="3:12" ht="12.75">
      <c r="C5" s="100" t="s">
        <v>2</v>
      </c>
      <c r="D5" s="101"/>
      <c r="E5" s="102"/>
      <c r="F5" s="67"/>
      <c r="G5" s="178"/>
      <c r="H5" s="177" t="s">
        <v>80</v>
      </c>
      <c r="L5" s="214"/>
    </row>
    <row r="6" spans="3:15" ht="12.75">
      <c r="C6" s="65" t="s">
        <v>126</v>
      </c>
      <c r="D6" s="103">
        <v>1100</v>
      </c>
      <c r="E6" s="161"/>
      <c r="F6" s="67" t="s">
        <v>332</v>
      </c>
      <c r="H6" s="178"/>
      <c r="I6" s="178">
        <v>1</v>
      </c>
      <c r="J6" s="178">
        <v>2</v>
      </c>
      <c r="K6" s="178">
        <f>G51</f>
        <v>1</v>
      </c>
      <c r="L6" s="214"/>
      <c r="M6" s="214"/>
      <c r="N6" s="214"/>
      <c r="O6" s="214"/>
    </row>
    <row r="7" spans="3:15" ht="12.75">
      <c r="C7" s="104" t="s">
        <v>130</v>
      </c>
      <c r="D7" s="144">
        <v>0.9</v>
      </c>
      <c r="E7" s="102"/>
      <c r="F7" s="67" t="s">
        <v>113</v>
      </c>
      <c r="I7" s="179" t="s">
        <v>50</v>
      </c>
      <c r="J7" s="172" t="s">
        <v>49</v>
      </c>
      <c r="K7" s="172" t="s">
        <v>91</v>
      </c>
      <c r="M7" s="214"/>
      <c r="N7" s="214"/>
      <c r="O7" s="214"/>
    </row>
    <row r="8" spans="3:15" ht="12.75">
      <c r="C8" s="104" t="s">
        <v>131</v>
      </c>
      <c r="D8" s="144">
        <v>0.83</v>
      </c>
      <c r="E8" s="102"/>
      <c r="F8" s="67" t="s">
        <v>113</v>
      </c>
      <c r="G8" s="186">
        <v>1</v>
      </c>
      <c r="H8" s="180" t="s">
        <v>83</v>
      </c>
      <c r="I8" s="181">
        <v>0.6</v>
      </c>
      <c r="J8" s="181">
        <v>0.6</v>
      </c>
      <c r="K8" s="182">
        <f>HLOOKUP($K$6,$I$6:$J$14,3)</f>
        <v>0.6</v>
      </c>
      <c r="M8" s="214"/>
      <c r="N8" s="214"/>
      <c r="O8" s="214"/>
    </row>
    <row r="9" spans="3:17" ht="12.75">
      <c r="C9" s="108" t="s">
        <v>47</v>
      </c>
      <c r="D9" s="101">
        <v>18</v>
      </c>
      <c r="E9" s="102" t="s">
        <v>22</v>
      </c>
      <c r="F9" s="67" t="s">
        <v>336</v>
      </c>
      <c r="G9" s="176">
        <v>2</v>
      </c>
      <c r="H9" s="180" t="s">
        <v>84</v>
      </c>
      <c r="I9" s="181">
        <v>0.6</v>
      </c>
      <c r="J9" s="181">
        <v>0.65</v>
      </c>
      <c r="K9" s="182">
        <f>HLOOKUP($K$6,$I$6:$J$14,4)</f>
        <v>0.6</v>
      </c>
      <c r="Q9" s="171"/>
    </row>
    <row r="10" spans="3:11" ht="12.75">
      <c r="C10" s="108" t="s">
        <v>48</v>
      </c>
      <c r="D10" s="101">
        <v>17</v>
      </c>
      <c r="E10" s="102" t="s">
        <v>22</v>
      </c>
      <c r="F10" s="67" t="s">
        <v>336</v>
      </c>
      <c r="G10" s="176">
        <v>3</v>
      </c>
      <c r="H10" s="183" t="s">
        <v>85</v>
      </c>
      <c r="I10" s="181">
        <v>0.65</v>
      </c>
      <c r="J10" s="181">
        <v>0.72</v>
      </c>
      <c r="K10" s="182">
        <f>HLOOKUP($K$6,$I$6:$J$14,5)</f>
        <v>0.65</v>
      </c>
    </row>
    <row r="11" spans="3:11" ht="12.75">
      <c r="C11" s="108" t="s">
        <v>63</v>
      </c>
      <c r="D11" s="136">
        <f>IF(G51=1,D9,D10)</f>
        <v>18</v>
      </c>
      <c r="E11" s="102" t="s">
        <v>22</v>
      </c>
      <c r="F11" s="67" t="s">
        <v>123</v>
      </c>
      <c r="G11" s="171">
        <v>4</v>
      </c>
      <c r="H11" s="171" t="s">
        <v>86</v>
      </c>
      <c r="I11" s="181">
        <v>0.68</v>
      </c>
      <c r="J11" s="181">
        <v>0.75</v>
      </c>
      <c r="K11" s="182">
        <f>HLOOKUP($K$6,$I$6:$J$14,6)</f>
        <v>0.68</v>
      </c>
    </row>
    <row r="12" spans="3:11" ht="12.75">
      <c r="C12" s="108"/>
      <c r="D12" s="101"/>
      <c r="E12" s="102"/>
      <c r="F12" s="67"/>
      <c r="G12" s="171">
        <v>5</v>
      </c>
      <c r="H12" s="171" t="s">
        <v>87</v>
      </c>
      <c r="I12" s="184">
        <v>0.68</v>
      </c>
      <c r="J12" s="184">
        <v>0.8</v>
      </c>
      <c r="K12" s="182">
        <f>HLOOKUP($K$6,$I$6:$J$14,7)</f>
        <v>0.68</v>
      </c>
    </row>
    <row r="13" spans="3:11" ht="12.75">
      <c r="C13" s="109" t="s">
        <v>3</v>
      </c>
      <c r="D13" s="101"/>
      <c r="E13" s="102"/>
      <c r="F13" s="67"/>
      <c r="G13" s="171">
        <v>6</v>
      </c>
      <c r="H13" s="171" t="s">
        <v>88</v>
      </c>
      <c r="I13" s="184">
        <v>0.76</v>
      </c>
      <c r="J13" s="184">
        <v>0.8</v>
      </c>
      <c r="K13" s="182">
        <f>HLOOKUP($K$6,$I$6:$J$14,8)</f>
        <v>0.76</v>
      </c>
    </row>
    <row r="14" spans="3:11" ht="12.75">
      <c r="C14" s="65" t="s">
        <v>126</v>
      </c>
      <c r="D14" s="103">
        <v>780</v>
      </c>
      <c r="E14" s="161"/>
      <c r="F14" s="67" t="s">
        <v>332</v>
      </c>
      <c r="G14" s="171">
        <v>7</v>
      </c>
      <c r="H14" s="171" t="s">
        <v>89</v>
      </c>
      <c r="I14" s="184">
        <v>0.78</v>
      </c>
      <c r="J14" s="184">
        <v>0.8</v>
      </c>
      <c r="K14" s="182">
        <f>HLOOKUP($K$6,$I$6:$J$14,9)</f>
        <v>0.78</v>
      </c>
    </row>
    <row r="15" spans="3:11" ht="12.75">
      <c r="C15" s="104" t="s">
        <v>42</v>
      </c>
      <c r="D15" s="139" t="s">
        <v>90</v>
      </c>
      <c r="E15" s="102"/>
      <c r="F15" s="67" t="s">
        <v>114</v>
      </c>
      <c r="G15" s="171">
        <v>8</v>
      </c>
      <c r="H15" s="171" t="s">
        <v>119</v>
      </c>
      <c r="I15" s="184">
        <v>0.78</v>
      </c>
      <c r="J15" s="184">
        <v>0.8</v>
      </c>
      <c r="K15" s="182">
        <f>HLOOKUP($K$6,$I$6:$J$14,9)</f>
        <v>0.78</v>
      </c>
    </row>
    <row r="16" spans="3:11" ht="12.75">
      <c r="C16" s="108" t="s">
        <v>47</v>
      </c>
      <c r="D16" s="101">
        <f>D9</f>
        <v>18</v>
      </c>
      <c r="E16" s="102" t="s">
        <v>22</v>
      </c>
      <c r="F16" s="67" t="s">
        <v>336</v>
      </c>
      <c r="G16" s="171">
        <v>8</v>
      </c>
      <c r="H16" s="171" t="s">
        <v>82</v>
      </c>
      <c r="K16" s="185">
        <f>VLOOKUP(G16,G7:K14,5)</f>
        <v>0.78</v>
      </c>
    </row>
    <row r="17" spans="3:6" ht="12.75">
      <c r="C17" s="108" t="s">
        <v>48</v>
      </c>
      <c r="D17" s="101">
        <f>D10</f>
        <v>17</v>
      </c>
      <c r="E17" s="102" t="s">
        <v>22</v>
      </c>
      <c r="F17" s="67" t="s">
        <v>336</v>
      </c>
    </row>
    <row r="18" spans="3:8" ht="12.75">
      <c r="C18" s="108" t="s">
        <v>63</v>
      </c>
      <c r="D18" s="136">
        <f>D11</f>
        <v>18</v>
      </c>
      <c r="E18" s="102" t="s">
        <v>22</v>
      </c>
      <c r="F18" s="67" t="s">
        <v>123</v>
      </c>
      <c r="H18" s="171" t="s">
        <v>103</v>
      </c>
    </row>
    <row r="19" spans="1:22" s="38" customFormat="1" ht="12.75">
      <c r="A19" s="1"/>
      <c r="B19" s="1"/>
      <c r="C19" s="108"/>
      <c r="D19" s="111"/>
      <c r="E19" s="106"/>
      <c r="F19" s="67"/>
      <c r="G19" s="171"/>
      <c r="H19" s="171" t="s">
        <v>66</v>
      </c>
      <c r="I19" s="171" t="s">
        <v>67</v>
      </c>
      <c r="J19" s="171"/>
      <c r="K19" s="171"/>
      <c r="L19" s="171"/>
      <c r="M19" s="171"/>
      <c r="N19" s="171"/>
      <c r="O19" s="171"/>
      <c r="P19" s="171"/>
      <c r="Q19" s="171"/>
      <c r="R19" s="171"/>
      <c r="S19" s="171"/>
      <c r="T19" s="112"/>
      <c r="U19" s="112"/>
      <c r="V19" s="112"/>
    </row>
    <row r="20" spans="1:23" s="38" customFormat="1" ht="15">
      <c r="A20" s="1"/>
      <c r="B20" s="1"/>
      <c r="C20" s="113" t="s">
        <v>23</v>
      </c>
      <c r="D20" s="114"/>
      <c r="E20" s="115"/>
      <c r="F20" s="67"/>
      <c r="G20" s="171"/>
      <c r="H20" s="191" t="s">
        <v>67</v>
      </c>
      <c r="I20" s="171">
        <v>1</v>
      </c>
      <c r="J20" s="191">
        <v>2</v>
      </c>
      <c r="K20" s="191">
        <v>3</v>
      </c>
      <c r="L20" s="191">
        <v>4</v>
      </c>
      <c r="M20" s="191">
        <v>5</v>
      </c>
      <c r="N20" s="191">
        <v>6</v>
      </c>
      <c r="O20" s="191">
        <v>7</v>
      </c>
      <c r="P20" s="191">
        <v>8</v>
      </c>
      <c r="Q20" s="191">
        <v>9</v>
      </c>
      <c r="R20" s="172">
        <f>G44</f>
        <v>2</v>
      </c>
      <c r="S20" s="172"/>
      <c r="T20" s="91"/>
      <c r="U20" s="91"/>
      <c r="V20" s="91"/>
      <c r="W20" s="1"/>
    </row>
    <row r="21" spans="3:18" ht="12.75">
      <c r="C21" s="65" t="s">
        <v>27</v>
      </c>
      <c r="D21" s="103">
        <v>20</v>
      </c>
      <c r="E21" s="102"/>
      <c r="F21" s="67" t="s">
        <v>64</v>
      </c>
      <c r="H21" s="191" t="s">
        <v>95</v>
      </c>
      <c r="I21" s="192" t="s">
        <v>68</v>
      </c>
      <c r="J21" s="191" t="s">
        <v>71</v>
      </c>
      <c r="K21" s="191" t="s">
        <v>70</v>
      </c>
      <c r="L21" s="191" t="s">
        <v>72</v>
      </c>
      <c r="M21" s="191" t="s">
        <v>73</v>
      </c>
      <c r="N21" s="191" t="s">
        <v>75</v>
      </c>
      <c r="O21" s="191" t="s">
        <v>69</v>
      </c>
      <c r="P21" s="192" t="s">
        <v>76</v>
      </c>
      <c r="Q21" s="191" t="s">
        <v>74</v>
      </c>
      <c r="R21" s="172" t="str">
        <f>HLOOKUP($R$20,$I$20:$Q$29,2)</f>
        <v>Mid Atlantic</v>
      </c>
    </row>
    <row r="22" spans="3:18" ht="12.75">
      <c r="C22" s="65" t="s">
        <v>32</v>
      </c>
      <c r="D22" s="101">
        <v>0</v>
      </c>
      <c r="E22" s="102"/>
      <c r="F22" s="67" t="s">
        <v>64</v>
      </c>
      <c r="G22" s="171">
        <v>1</v>
      </c>
      <c r="H22" s="191" t="s">
        <v>65</v>
      </c>
      <c r="I22" s="191">
        <v>50</v>
      </c>
      <c r="J22" s="172">
        <v>49</v>
      </c>
      <c r="K22" s="172">
        <v>45</v>
      </c>
      <c r="L22" s="172">
        <v>34</v>
      </c>
      <c r="M22" s="172">
        <v>62</v>
      </c>
      <c r="N22" s="172">
        <v>47</v>
      </c>
      <c r="O22" s="172">
        <v>49</v>
      </c>
      <c r="P22" s="191">
        <v>55</v>
      </c>
      <c r="Q22" s="172">
        <v>29</v>
      </c>
      <c r="R22" s="187">
        <f>HLOOKUP($R$20,$I$20:$Q$29,3)</f>
        <v>49</v>
      </c>
    </row>
    <row r="23" spans="3:18" ht="12.75">
      <c r="C23" s="65"/>
      <c r="D23" s="110"/>
      <c r="E23" s="102"/>
      <c r="F23" s="67"/>
      <c r="G23" s="171">
        <v>2</v>
      </c>
      <c r="H23" s="191" t="s">
        <v>96</v>
      </c>
      <c r="I23" s="191">
        <v>46</v>
      </c>
      <c r="J23" s="172">
        <v>45</v>
      </c>
      <c r="K23" s="172">
        <v>41</v>
      </c>
      <c r="L23" s="172">
        <v>33</v>
      </c>
      <c r="M23" s="172">
        <v>56</v>
      </c>
      <c r="N23" s="172">
        <v>44</v>
      </c>
      <c r="O23" s="172">
        <v>43</v>
      </c>
      <c r="P23" s="191">
        <v>50</v>
      </c>
      <c r="Q23" s="172">
        <v>27</v>
      </c>
      <c r="R23" s="187">
        <f>HLOOKUP($R$20,$I$20:$Q$29,4)</f>
        <v>45</v>
      </c>
    </row>
    <row r="24" spans="1:18" ht="15">
      <c r="A24" s="38"/>
      <c r="B24" s="38"/>
      <c r="C24" s="113" t="s">
        <v>115</v>
      </c>
      <c r="D24" s="143">
        <v>2500</v>
      </c>
      <c r="E24" s="102" t="s">
        <v>116</v>
      </c>
      <c r="F24" s="67" t="s">
        <v>64</v>
      </c>
      <c r="G24" s="171">
        <v>3</v>
      </c>
      <c r="H24" s="191" t="s">
        <v>97</v>
      </c>
      <c r="I24" s="191">
        <v>43</v>
      </c>
      <c r="J24" s="172">
        <v>41</v>
      </c>
      <c r="K24" s="172">
        <v>37</v>
      </c>
      <c r="L24" s="172">
        <v>33</v>
      </c>
      <c r="M24" s="172">
        <v>51</v>
      </c>
      <c r="N24" s="172">
        <v>41</v>
      </c>
      <c r="O24" s="172">
        <v>37</v>
      </c>
      <c r="P24" s="191">
        <v>45</v>
      </c>
      <c r="Q24" s="172">
        <v>26</v>
      </c>
      <c r="R24" s="187">
        <f>HLOOKUP($R$20,$I$20:$Q$29,5)</f>
        <v>41</v>
      </c>
    </row>
    <row r="25" spans="1:18" ht="12.75">
      <c r="A25" s="38"/>
      <c r="B25" s="38"/>
      <c r="C25" s="119"/>
      <c r="D25" s="101"/>
      <c r="E25" s="102"/>
      <c r="F25" s="67"/>
      <c r="G25" s="171">
        <v>4</v>
      </c>
      <c r="H25" s="191" t="s">
        <v>84</v>
      </c>
      <c r="I25" s="191">
        <v>40</v>
      </c>
      <c r="J25" s="172">
        <v>38</v>
      </c>
      <c r="K25" s="172">
        <v>32</v>
      </c>
      <c r="L25" s="172">
        <v>32</v>
      </c>
      <c r="M25" s="172">
        <v>45</v>
      </c>
      <c r="N25" s="172">
        <v>38</v>
      </c>
      <c r="O25" s="172">
        <v>31</v>
      </c>
      <c r="P25" s="191">
        <v>40</v>
      </c>
      <c r="Q25" s="172">
        <v>25</v>
      </c>
      <c r="R25" s="187">
        <f>HLOOKUP($R$20,$I$20:$Q$29,6)</f>
        <v>38</v>
      </c>
    </row>
    <row r="26" spans="3:18" ht="15">
      <c r="C26" s="137" t="s">
        <v>118</v>
      </c>
      <c r="D26" s="136"/>
      <c r="E26" s="148"/>
      <c r="F26" s="67"/>
      <c r="G26" s="171">
        <v>5</v>
      </c>
      <c r="H26" s="191" t="s">
        <v>98</v>
      </c>
      <c r="I26" s="191">
        <v>37</v>
      </c>
      <c r="J26" s="172">
        <v>34</v>
      </c>
      <c r="K26" s="172">
        <v>28</v>
      </c>
      <c r="L26" s="172">
        <v>31</v>
      </c>
      <c r="M26" s="172">
        <v>39</v>
      </c>
      <c r="N26" s="172">
        <v>35</v>
      </c>
      <c r="O26" s="172">
        <v>24</v>
      </c>
      <c r="P26" s="191">
        <v>36</v>
      </c>
      <c r="Q26" s="172">
        <v>24</v>
      </c>
      <c r="R26" s="187">
        <f>HLOOKUP($R$20,$I$20:$Q$29,7)</f>
        <v>34</v>
      </c>
    </row>
    <row r="27" spans="3:18" ht="12.75">
      <c r="C27" s="155" t="s">
        <v>312</v>
      </c>
      <c r="D27" s="150">
        <f>VLOOKUP(A28,A29:D420,4)*R30</f>
        <v>23.400000000000002</v>
      </c>
      <c r="E27" s="148"/>
      <c r="F27" s="67" t="s">
        <v>133</v>
      </c>
      <c r="G27" s="171">
        <v>6</v>
      </c>
      <c r="H27" s="191" t="s">
        <v>99</v>
      </c>
      <c r="I27" s="191">
        <v>34</v>
      </c>
      <c r="J27" s="172">
        <v>30</v>
      </c>
      <c r="K27" s="172">
        <v>24</v>
      </c>
      <c r="L27" s="172">
        <v>30</v>
      </c>
      <c r="M27" s="172">
        <v>34</v>
      </c>
      <c r="N27" s="172">
        <v>32</v>
      </c>
      <c r="O27" s="172">
        <v>18</v>
      </c>
      <c r="P27" s="191">
        <v>31</v>
      </c>
      <c r="Q27" s="172">
        <v>22</v>
      </c>
      <c r="R27" s="187">
        <f>HLOOKUP($R$20,$I$20:$Q$29,8)</f>
        <v>30</v>
      </c>
    </row>
    <row r="28" spans="1:18" ht="39">
      <c r="A28" s="1">
        <v>109</v>
      </c>
      <c r="B28" s="1" t="s">
        <v>67</v>
      </c>
      <c r="C28" s="154" t="s">
        <v>313</v>
      </c>
      <c r="D28" s="162" t="s">
        <v>134</v>
      </c>
      <c r="E28" s="164" t="s">
        <v>337</v>
      </c>
      <c r="F28" s="67" t="s">
        <v>331</v>
      </c>
      <c r="G28" s="171">
        <v>7</v>
      </c>
      <c r="H28" s="191" t="s">
        <v>100</v>
      </c>
      <c r="I28" s="191">
        <v>31</v>
      </c>
      <c r="J28" s="172">
        <v>26</v>
      </c>
      <c r="K28" s="172">
        <v>20</v>
      </c>
      <c r="L28" s="172">
        <v>29</v>
      </c>
      <c r="M28" s="172">
        <v>28</v>
      </c>
      <c r="N28" s="172">
        <v>29</v>
      </c>
      <c r="O28" s="172">
        <v>12</v>
      </c>
      <c r="P28" s="191">
        <v>26</v>
      </c>
      <c r="Q28" s="172">
        <v>21</v>
      </c>
      <c r="R28" s="187">
        <f>HLOOKUP($R$20,$I$20:$Q$29,9)</f>
        <v>26</v>
      </c>
    </row>
    <row r="29" spans="1:18" ht="12.75">
      <c r="A29" s="1">
        <v>1</v>
      </c>
      <c r="B29" s="151">
        <v>9</v>
      </c>
      <c r="C29" s="152" t="s">
        <v>137</v>
      </c>
      <c r="D29" s="157">
        <v>2.4</v>
      </c>
      <c r="E29" s="38"/>
      <c r="F29" s="67" t="s">
        <v>133</v>
      </c>
      <c r="G29" s="171">
        <v>8</v>
      </c>
      <c r="H29" s="191" t="s">
        <v>333</v>
      </c>
      <c r="I29" s="191">
        <v>29</v>
      </c>
      <c r="J29" s="172">
        <v>24</v>
      </c>
      <c r="K29" s="172">
        <v>18</v>
      </c>
      <c r="L29" s="172">
        <v>28</v>
      </c>
      <c r="M29" s="172">
        <v>24</v>
      </c>
      <c r="N29" s="172">
        <v>27</v>
      </c>
      <c r="O29" s="172">
        <v>9</v>
      </c>
      <c r="P29" s="191">
        <v>23</v>
      </c>
      <c r="Q29" s="172">
        <v>20</v>
      </c>
      <c r="R29" s="187">
        <f>HLOOKUP($R$20,$I$20:$Q$29,10)</f>
        <v>24</v>
      </c>
    </row>
    <row r="30" spans="1:18" ht="12.75">
      <c r="A30" s="38">
        <f>1+A29</f>
        <v>2</v>
      </c>
      <c r="B30" s="151">
        <v>9</v>
      </c>
      <c r="C30" s="152" t="s">
        <v>138</v>
      </c>
      <c r="D30" s="157">
        <v>2</v>
      </c>
      <c r="E30" s="38"/>
      <c r="F30" s="67" t="s">
        <v>133</v>
      </c>
      <c r="G30" s="171">
        <v>7</v>
      </c>
      <c r="H30" s="171" t="s">
        <v>82</v>
      </c>
      <c r="R30" s="188">
        <f>VLOOKUP(G30,G22:R29,12)</f>
        <v>26</v>
      </c>
    </row>
    <row r="31" spans="1:6" ht="12.75">
      <c r="A31" s="38">
        <f aca="true" t="shared" si="0" ref="A31:A94">1+A30</f>
        <v>3</v>
      </c>
      <c r="B31" s="151">
        <v>4</v>
      </c>
      <c r="C31" s="153" t="s">
        <v>315</v>
      </c>
      <c r="D31" s="157">
        <v>0.8</v>
      </c>
      <c r="E31" s="38"/>
      <c r="F31" s="67" t="s">
        <v>133</v>
      </c>
    </row>
    <row r="32" spans="1:6" ht="12.75">
      <c r="A32" s="38">
        <f t="shared" si="0"/>
        <v>4</v>
      </c>
      <c r="B32" s="151">
        <v>4</v>
      </c>
      <c r="C32" s="152" t="s">
        <v>135</v>
      </c>
      <c r="D32" s="157">
        <v>0.9</v>
      </c>
      <c r="E32" s="38"/>
      <c r="F32" s="67" t="s">
        <v>133</v>
      </c>
    </row>
    <row r="33" spans="1:6" ht="12.75">
      <c r="A33" s="38">
        <f t="shared" si="0"/>
        <v>5</v>
      </c>
      <c r="B33" s="151">
        <v>4</v>
      </c>
      <c r="C33" s="152" t="s">
        <v>136</v>
      </c>
      <c r="D33" s="157">
        <v>0.5</v>
      </c>
      <c r="E33" s="38"/>
      <c r="F33" s="67" t="s">
        <v>133</v>
      </c>
    </row>
    <row r="34" spans="1:13" ht="12.75">
      <c r="A34" s="38">
        <f t="shared" si="0"/>
        <v>6</v>
      </c>
      <c r="B34" s="151">
        <v>7</v>
      </c>
      <c r="C34" s="152" t="s">
        <v>144</v>
      </c>
      <c r="D34" s="157">
        <v>1.5</v>
      </c>
      <c r="E34" s="38"/>
      <c r="F34" s="67" t="s">
        <v>133</v>
      </c>
      <c r="H34" s="171" t="s">
        <v>93</v>
      </c>
      <c r="M34" s="172" t="s">
        <v>339</v>
      </c>
    </row>
    <row r="35" spans="1:17" ht="23.25" customHeight="1">
      <c r="A35" s="38">
        <f t="shared" si="0"/>
        <v>7</v>
      </c>
      <c r="B35" s="151">
        <v>7</v>
      </c>
      <c r="C35" s="152" t="s">
        <v>145</v>
      </c>
      <c r="D35" s="157">
        <v>1.4</v>
      </c>
      <c r="E35" s="38"/>
      <c r="F35" s="67" t="s">
        <v>133</v>
      </c>
      <c r="G35" s="172">
        <v>1</v>
      </c>
      <c r="H35" s="191" t="s">
        <v>68</v>
      </c>
      <c r="I35" s="172"/>
      <c r="M35" s="191"/>
      <c r="N35" s="172" t="s">
        <v>340</v>
      </c>
      <c r="O35" s="172" t="s">
        <v>341</v>
      </c>
      <c r="P35" s="189" t="s">
        <v>342</v>
      </c>
      <c r="Q35" s="189" t="s">
        <v>343</v>
      </c>
    </row>
    <row r="36" spans="1:21" ht="12.75">
      <c r="A36" s="38">
        <f t="shared" si="0"/>
        <v>8</v>
      </c>
      <c r="B36" s="151">
        <v>7</v>
      </c>
      <c r="C36" s="152" t="s">
        <v>146</v>
      </c>
      <c r="D36" s="157">
        <v>1.3</v>
      </c>
      <c r="E36" s="38"/>
      <c r="F36" s="67" t="s">
        <v>133</v>
      </c>
      <c r="G36" s="171">
        <v>2</v>
      </c>
      <c r="H36" s="191" t="s">
        <v>326</v>
      </c>
      <c r="M36" s="172">
        <v>1</v>
      </c>
      <c r="N36" s="172">
        <v>-0.0037</v>
      </c>
      <c r="O36" s="172">
        <v>0.389</v>
      </c>
      <c r="P36" s="172">
        <v>30.7</v>
      </c>
      <c r="Q36" s="172">
        <v>60.7</v>
      </c>
      <c r="S36" s="215"/>
      <c r="T36" s="168"/>
      <c r="U36"/>
    </row>
    <row r="37" spans="1:17" ht="12.75">
      <c r="A37" s="38">
        <f t="shared" si="0"/>
        <v>9</v>
      </c>
      <c r="B37" s="151">
        <v>8</v>
      </c>
      <c r="C37" s="152" t="s">
        <v>139</v>
      </c>
      <c r="D37" s="157">
        <v>1.3</v>
      </c>
      <c r="E37" s="38"/>
      <c r="F37" s="67" t="s">
        <v>133</v>
      </c>
      <c r="G37" s="171">
        <v>3</v>
      </c>
      <c r="H37" s="191" t="s">
        <v>70</v>
      </c>
      <c r="M37" s="171">
        <f aca="true" t="shared" si="1" ref="M37:M43">1+M36</f>
        <v>2</v>
      </c>
      <c r="N37" s="172">
        <v>-0.0042</v>
      </c>
      <c r="O37" s="172">
        <v>0.391</v>
      </c>
      <c r="P37" s="172">
        <v>27.9</v>
      </c>
      <c r="Q37" s="172">
        <v>54.6</v>
      </c>
    </row>
    <row r="38" spans="1:17" ht="12.75">
      <c r="A38" s="38">
        <f t="shared" si="0"/>
        <v>10</v>
      </c>
      <c r="B38" s="151">
        <v>8</v>
      </c>
      <c r="C38" s="152" t="s">
        <v>140</v>
      </c>
      <c r="D38" s="157">
        <v>0.2</v>
      </c>
      <c r="E38" s="38"/>
      <c r="F38" s="67" t="s">
        <v>133</v>
      </c>
      <c r="G38" s="193">
        <v>4</v>
      </c>
      <c r="H38" s="192" t="s">
        <v>327</v>
      </c>
      <c r="I38" s="190"/>
      <c r="M38" s="171">
        <f t="shared" si="1"/>
        <v>3</v>
      </c>
      <c r="N38" s="172">
        <v>-0.0047</v>
      </c>
      <c r="O38" s="172">
        <v>0.398</v>
      </c>
      <c r="P38" s="172">
        <v>26.2</v>
      </c>
      <c r="Q38" s="172">
        <v>49.8</v>
      </c>
    </row>
    <row r="39" spans="1:20" ht="12.75">
      <c r="A39" s="38">
        <f t="shared" si="0"/>
        <v>11</v>
      </c>
      <c r="B39" s="151">
        <v>8</v>
      </c>
      <c r="C39" s="152" t="s">
        <v>141</v>
      </c>
      <c r="D39" s="157">
        <v>0.3</v>
      </c>
      <c r="E39" s="38"/>
      <c r="F39" s="67" t="s">
        <v>133</v>
      </c>
      <c r="G39" s="193">
        <v>5</v>
      </c>
      <c r="H39" s="191" t="s">
        <v>328</v>
      </c>
      <c r="I39" s="190"/>
      <c r="M39" s="171">
        <f t="shared" si="1"/>
        <v>4</v>
      </c>
      <c r="N39" s="172">
        <v>-0.005</v>
      </c>
      <c r="O39" s="172">
        <v>0.399</v>
      </c>
      <c r="P39" s="172">
        <v>23.2</v>
      </c>
      <c r="Q39" s="172">
        <v>44</v>
      </c>
      <c r="S39" s="216"/>
      <c r="T39"/>
    </row>
    <row r="40" spans="1:20" ht="12.75">
      <c r="A40" s="38">
        <f t="shared" si="0"/>
        <v>12</v>
      </c>
      <c r="B40" s="151">
        <v>8</v>
      </c>
      <c r="C40" s="152" t="s">
        <v>142</v>
      </c>
      <c r="D40" s="157">
        <v>0.8</v>
      </c>
      <c r="E40" s="38"/>
      <c r="F40" s="67" t="s">
        <v>133</v>
      </c>
      <c r="G40" s="171">
        <v>6</v>
      </c>
      <c r="H40" s="191" t="s">
        <v>329</v>
      </c>
      <c r="M40" s="171">
        <f t="shared" si="1"/>
        <v>5</v>
      </c>
      <c r="N40" s="172">
        <v>-0.0059</v>
      </c>
      <c r="O40" s="172">
        <v>0.399</v>
      </c>
      <c r="P40" s="172">
        <v>20.7</v>
      </c>
      <c r="Q40" s="172">
        <v>39.2</v>
      </c>
      <c r="S40" s="217"/>
      <c r="T40" s="165"/>
    </row>
    <row r="41" spans="1:20" ht="12.75">
      <c r="A41" s="38">
        <f t="shared" si="0"/>
        <v>13</v>
      </c>
      <c r="B41" s="151">
        <v>8</v>
      </c>
      <c r="C41" s="152" t="s">
        <v>143</v>
      </c>
      <c r="D41" s="157">
        <v>0.1</v>
      </c>
      <c r="E41" s="38"/>
      <c r="F41" s="67" t="s">
        <v>133</v>
      </c>
      <c r="G41" s="171">
        <v>7</v>
      </c>
      <c r="H41" s="191" t="s">
        <v>330</v>
      </c>
      <c r="M41" s="171">
        <f t="shared" si="1"/>
        <v>6</v>
      </c>
      <c r="N41" s="172">
        <v>-0.0065</v>
      </c>
      <c r="O41" s="172">
        <v>0.395</v>
      </c>
      <c r="P41" s="172">
        <v>18.2</v>
      </c>
      <c r="Q41" s="172">
        <v>35</v>
      </c>
      <c r="S41" s="191"/>
      <c r="T41" s="166"/>
    </row>
    <row r="42" spans="1:20" ht="12.75">
      <c r="A42" s="38">
        <f t="shared" si="0"/>
        <v>14</v>
      </c>
      <c r="B42" s="151">
        <v>9</v>
      </c>
      <c r="C42" s="152" t="s">
        <v>147</v>
      </c>
      <c r="D42" s="157">
        <v>0.5</v>
      </c>
      <c r="E42" s="38"/>
      <c r="F42" s="67" t="s">
        <v>133</v>
      </c>
      <c r="G42" s="171">
        <v>8</v>
      </c>
      <c r="H42" s="191" t="s">
        <v>76</v>
      </c>
      <c r="M42" s="171">
        <f t="shared" si="1"/>
        <v>7</v>
      </c>
      <c r="N42" s="172">
        <v>-0.0069</v>
      </c>
      <c r="O42" s="172">
        <v>0.378</v>
      </c>
      <c r="P42" s="172">
        <v>14.7</v>
      </c>
      <c r="Q42" s="172">
        <v>30.6</v>
      </c>
      <c r="S42" s="191"/>
      <c r="T42" s="167"/>
    </row>
    <row r="43" spans="1:20" ht="12.75">
      <c r="A43" s="38">
        <f t="shared" si="0"/>
        <v>15</v>
      </c>
      <c r="B43" s="151">
        <v>9</v>
      </c>
      <c r="C43" s="152" t="s">
        <v>148</v>
      </c>
      <c r="D43" s="157">
        <v>1</v>
      </c>
      <c r="F43" s="67" t="s">
        <v>133</v>
      </c>
      <c r="G43" s="171">
        <v>9</v>
      </c>
      <c r="H43" s="191" t="s">
        <v>74</v>
      </c>
      <c r="M43" s="171">
        <f t="shared" si="1"/>
        <v>8</v>
      </c>
      <c r="N43" s="172">
        <v>-0.0072</v>
      </c>
      <c r="O43" s="172">
        <v>0.362</v>
      </c>
      <c r="P43" s="172">
        <v>11.9</v>
      </c>
      <c r="Q43" s="172">
        <v>27.2</v>
      </c>
      <c r="S43" s="191"/>
      <c r="T43" s="166"/>
    </row>
    <row r="44" spans="1:15" ht="12.75">
      <c r="A44" s="38">
        <f t="shared" si="0"/>
        <v>16</v>
      </c>
      <c r="B44" s="151">
        <v>9</v>
      </c>
      <c r="C44" s="152" t="s">
        <v>150</v>
      </c>
      <c r="D44" s="157">
        <v>0.6</v>
      </c>
      <c r="F44" s="67" t="s">
        <v>133</v>
      </c>
      <c r="G44" s="171">
        <f>LOOKUP(A28,A29:B216)</f>
        <v>2</v>
      </c>
      <c r="H44" s="171" t="s">
        <v>91</v>
      </c>
      <c r="O44" s="171"/>
    </row>
    <row r="45" spans="1:15" ht="12.75">
      <c r="A45" s="38">
        <f t="shared" si="0"/>
        <v>17</v>
      </c>
      <c r="B45" s="151">
        <v>9</v>
      </c>
      <c r="C45" s="152" t="s">
        <v>151</v>
      </c>
      <c r="D45" s="157">
        <v>0.3</v>
      </c>
      <c r="F45" s="67" t="s">
        <v>133</v>
      </c>
      <c r="M45" s="171"/>
      <c r="O45" s="191"/>
    </row>
    <row r="46" spans="1:15" ht="12.75">
      <c r="A46" s="38">
        <f t="shared" si="0"/>
        <v>18</v>
      </c>
      <c r="B46" s="151">
        <v>9</v>
      </c>
      <c r="C46" s="152" t="s">
        <v>152</v>
      </c>
      <c r="D46" s="157">
        <v>0.2</v>
      </c>
      <c r="F46" s="67" t="s">
        <v>133</v>
      </c>
      <c r="M46" s="171"/>
      <c r="O46" s="191"/>
    </row>
    <row r="47" spans="1:15" ht="12.75">
      <c r="A47" s="38">
        <f t="shared" si="0"/>
        <v>19</v>
      </c>
      <c r="B47" s="151">
        <v>9</v>
      </c>
      <c r="C47" s="152" t="s">
        <v>153</v>
      </c>
      <c r="D47" s="157">
        <v>1.4</v>
      </c>
      <c r="F47" s="67" t="s">
        <v>133</v>
      </c>
      <c r="G47" s="171" t="s">
        <v>94</v>
      </c>
      <c r="M47" s="171"/>
      <c r="O47" s="191"/>
    </row>
    <row r="48" spans="1:15" ht="12.75">
      <c r="A48" s="38">
        <f t="shared" si="0"/>
        <v>20</v>
      </c>
      <c r="B48" s="151">
        <v>9</v>
      </c>
      <c r="C48" s="152" t="s">
        <v>154</v>
      </c>
      <c r="D48" s="157">
        <v>0.6</v>
      </c>
      <c r="F48" s="67" t="s">
        <v>133</v>
      </c>
      <c r="G48" s="171">
        <v>1</v>
      </c>
      <c r="H48" s="171" t="s">
        <v>50</v>
      </c>
      <c r="I48" s="171" t="s">
        <v>101</v>
      </c>
      <c r="M48" s="171"/>
      <c r="O48" s="191"/>
    </row>
    <row r="49" spans="1:15" ht="12.75">
      <c r="A49" s="38">
        <f t="shared" si="0"/>
        <v>21</v>
      </c>
      <c r="B49" s="151">
        <v>9</v>
      </c>
      <c r="C49" s="152" t="s">
        <v>155</v>
      </c>
      <c r="D49" s="157">
        <v>0.2</v>
      </c>
      <c r="F49" s="67" t="s">
        <v>133</v>
      </c>
      <c r="G49" s="171">
        <v>2</v>
      </c>
      <c r="H49" s="171" t="s">
        <v>49</v>
      </c>
      <c r="I49" s="171" t="s">
        <v>102</v>
      </c>
      <c r="M49" s="171"/>
      <c r="O49" s="191"/>
    </row>
    <row r="50" spans="1:15" ht="12.75">
      <c r="A50" s="38">
        <f t="shared" si="0"/>
        <v>22</v>
      </c>
      <c r="B50" s="151">
        <v>9</v>
      </c>
      <c r="C50" s="152" t="s">
        <v>156</v>
      </c>
      <c r="D50" s="157">
        <v>0.6</v>
      </c>
      <c r="F50" s="67" t="s">
        <v>133</v>
      </c>
      <c r="M50" s="171"/>
      <c r="O50" s="191"/>
    </row>
    <row r="51" spans="1:15" ht="12.75">
      <c r="A51" s="38">
        <f t="shared" si="0"/>
        <v>23</v>
      </c>
      <c r="B51" s="151">
        <v>9</v>
      </c>
      <c r="C51" s="152" t="s">
        <v>157</v>
      </c>
      <c r="D51" s="157">
        <v>0.5</v>
      </c>
      <c r="F51" s="67" t="s">
        <v>133</v>
      </c>
      <c r="G51" s="171">
        <v>1</v>
      </c>
      <c r="H51" s="171" t="s">
        <v>91</v>
      </c>
      <c r="M51" s="171"/>
      <c r="O51" s="191"/>
    </row>
    <row r="52" spans="1:15" ht="12.75">
      <c r="A52" s="38">
        <f t="shared" si="0"/>
        <v>24</v>
      </c>
      <c r="B52" s="151">
        <v>9</v>
      </c>
      <c r="C52" s="152" t="s">
        <v>158</v>
      </c>
      <c r="D52" s="157">
        <v>0.6</v>
      </c>
      <c r="F52" s="67" t="s">
        <v>133</v>
      </c>
      <c r="M52" s="171"/>
      <c r="O52" s="191"/>
    </row>
    <row r="53" spans="1:15" ht="12.75">
      <c r="A53" s="38">
        <f t="shared" si="0"/>
        <v>25</v>
      </c>
      <c r="B53" s="151">
        <v>9</v>
      </c>
      <c r="C53" s="152" t="s">
        <v>159</v>
      </c>
      <c r="D53" s="157">
        <v>0.6</v>
      </c>
      <c r="F53" s="67" t="s">
        <v>133</v>
      </c>
      <c r="M53" s="171"/>
      <c r="O53" s="191"/>
    </row>
    <row r="54" spans="1:15" ht="12.75">
      <c r="A54" s="38">
        <f t="shared" si="0"/>
        <v>26</v>
      </c>
      <c r="B54" s="151">
        <v>9</v>
      </c>
      <c r="C54" s="152" t="s">
        <v>149</v>
      </c>
      <c r="D54" s="157">
        <v>1</v>
      </c>
      <c r="F54" s="67" t="s">
        <v>133</v>
      </c>
      <c r="G54" s="171" t="s">
        <v>109</v>
      </c>
      <c r="M54" s="171"/>
      <c r="O54" s="191"/>
    </row>
    <row r="55" spans="1:15" ht="12.75">
      <c r="A55" s="38">
        <f t="shared" si="0"/>
        <v>27</v>
      </c>
      <c r="B55" s="151">
        <v>8</v>
      </c>
      <c r="C55" s="152" t="s">
        <v>160</v>
      </c>
      <c r="D55" s="157">
        <v>1.6</v>
      </c>
      <c r="F55" s="67" t="s">
        <v>133</v>
      </c>
      <c r="G55" s="171">
        <v>1</v>
      </c>
      <c r="H55" s="171" t="s">
        <v>39</v>
      </c>
      <c r="I55" s="171" t="s">
        <v>110</v>
      </c>
      <c r="M55" s="171"/>
      <c r="O55" s="191"/>
    </row>
    <row r="56" spans="1:15" ht="12.75">
      <c r="A56" s="38">
        <f t="shared" si="0"/>
        <v>28</v>
      </c>
      <c r="B56" s="151">
        <v>8</v>
      </c>
      <c r="C56" s="152" t="s">
        <v>161</v>
      </c>
      <c r="D56" s="157">
        <v>1.1</v>
      </c>
      <c r="F56" s="67" t="s">
        <v>133</v>
      </c>
      <c r="G56" s="171">
        <v>2</v>
      </c>
      <c r="H56" s="171" t="s">
        <v>40</v>
      </c>
      <c r="M56" s="171"/>
      <c r="O56" s="191"/>
    </row>
    <row r="57" spans="1:15" ht="12.75">
      <c r="A57" s="38">
        <f t="shared" si="0"/>
        <v>29</v>
      </c>
      <c r="B57" s="151">
        <v>8</v>
      </c>
      <c r="C57" s="152" t="s">
        <v>162</v>
      </c>
      <c r="D57" s="157">
        <v>1.1</v>
      </c>
      <c r="F57" s="67" t="s">
        <v>133</v>
      </c>
      <c r="G57" s="171">
        <v>1</v>
      </c>
      <c r="H57" s="171" t="s">
        <v>82</v>
      </c>
      <c r="M57" s="171"/>
      <c r="O57" s="191"/>
    </row>
    <row r="58" spans="1:15" ht="12.75">
      <c r="A58" s="38">
        <f t="shared" si="0"/>
        <v>30</v>
      </c>
      <c r="B58" s="151">
        <v>8</v>
      </c>
      <c r="C58" s="152" t="s">
        <v>163</v>
      </c>
      <c r="D58" s="157">
        <v>1</v>
      </c>
      <c r="F58" s="67" t="s">
        <v>133</v>
      </c>
      <c r="G58" s="171">
        <v>1</v>
      </c>
      <c r="H58" s="171" t="s">
        <v>39</v>
      </c>
      <c r="I58" s="171" t="s">
        <v>111</v>
      </c>
      <c r="M58" s="171"/>
      <c r="O58" s="191"/>
    </row>
    <row r="59" spans="1:15" ht="12.75">
      <c r="A59" s="38">
        <f t="shared" si="0"/>
        <v>31</v>
      </c>
      <c r="B59" s="151">
        <v>8</v>
      </c>
      <c r="C59" s="152" t="s">
        <v>164</v>
      </c>
      <c r="D59" s="157">
        <v>1</v>
      </c>
      <c r="F59" s="67" t="s">
        <v>133</v>
      </c>
      <c r="G59" s="171">
        <v>2</v>
      </c>
      <c r="H59" s="171" t="s">
        <v>40</v>
      </c>
      <c r="M59" s="171"/>
      <c r="O59" s="191"/>
    </row>
    <row r="60" spans="1:15" ht="12.75">
      <c r="A60" s="38">
        <f t="shared" si="0"/>
        <v>32</v>
      </c>
      <c r="B60" s="151">
        <v>1</v>
      </c>
      <c r="C60" s="152" t="s">
        <v>165</v>
      </c>
      <c r="D60" s="157">
        <v>0.8</v>
      </c>
      <c r="F60" s="67" t="s">
        <v>133</v>
      </c>
      <c r="G60" s="171">
        <v>2</v>
      </c>
      <c r="H60" s="171" t="s">
        <v>82</v>
      </c>
      <c r="M60" s="171"/>
      <c r="O60" s="191"/>
    </row>
    <row r="61" spans="1:15" ht="12.75">
      <c r="A61" s="38">
        <f t="shared" si="0"/>
        <v>33</v>
      </c>
      <c r="B61" s="151">
        <v>1</v>
      </c>
      <c r="C61" s="152" t="s">
        <v>166</v>
      </c>
      <c r="D61" s="157">
        <v>0.9</v>
      </c>
      <c r="F61" s="67" t="s">
        <v>133</v>
      </c>
      <c r="M61" s="171"/>
      <c r="O61" s="191"/>
    </row>
    <row r="62" spans="1:15" ht="12.75">
      <c r="A62" s="38">
        <f t="shared" si="0"/>
        <v>34</v>
      </c>
      <c r="B62" s="151">
        <v>3</v>
      </c>
      <c r="C62" s="153" t="s">
        <v>316</v>
      </c>
      <c r="D62" s="157">
        <v>1.1</v>
      </c>
      <c r="F62" s="67" t="s">
        <v>133</v>
      </c>
      <c r="G62" s="171" t="s">
        <v>132</v>
      </c>
      <c r="M62" s="171"/>
      <c r="O62" s="191"/>
    </row>
    <row r="63" spans="1:15" ht="12.75">
      <c r="A63" s="38">
        <f t="shared" si="0"/>
        <v>35</v>
      </c>
      <c r="B63" s="151">
        <v>3</v>
      </c>
      <c r="C63" s="152" t="s">
        <v>167</v>
      </c>
      <c r="D63" s="157">
        <v>1.3</v>
      </c>
      <c r="F63" s="67" t="s">
        <v>133</v>
      </c>
      <c r="H63" s="173">
        <v>0.9</v>
      </c>
      <c r="I63" s="174" t="s">
        <v>130</v>
      </c>
      <c r="M63" s="171"/>
      <c r="O63" s="191"/>
    </row>
    <row r="64" spans="1:15" ht="12.75">
      <c r="A64" s="38">
        <f t="shared" si="0"/>
        <v>36</v>
      </c>
      <c r="B64" s="151">
        <v>3</v>
      </c>
      <c r="C64" s="152" t="s">
        <v>168</v>
      </c>
      <c r="D64" s="157">
        <v>0</v>
      </c>
      <c r="F64" s="67" t="s">
        <v>133</v>
      </c>
      <c r="H64" s="173">
        <v>0.83</v>
      </c>
      <c r="I64" s="174" t="s">
        <v>131</v>
      </c>
      <c r="M64" s="171"/>
      <c r="O64" s="191"/>
    </row>
    <row r="65" spans="1:15" ht="12.75">
      <c r="A65" s="38">
        <f t="shared" si="0"/>
        <v>37</v>
      </c>
      <c r="B65" s="151">
        <v>3</v>
      </c>
      <c r="C65" s="152" t="s">
        <v>169</v>
      </c>
      <c r="D65" s="157">
        <v>0.2</v>
      </c>
      <c r="F65" s="67" t="s">
        <v>133</v>
      </c>
      <c r="G65" s="171" t="s">
        <v>91</v>
      </c>
      <c r="H65" s="175">
        <f>IF(G51=2,H64,H63)</f>
        <v>0.9</v>
      </c>
      <c r="M65" s="171"/>
      <c r="O65" s="191"/>
    </row>
    <row r="66" spans="1:15" ht="12.75">
      <c r="A66" s="38">
        <f t="shared" si="0"/>
        <v>38</v>
      </c>
      <c r="B66" s="151">
        <v>3</v>
      </c>
      <c r="C66" s="152" t="s">
        <v>170</v>
      </c>
      <c r="D66" s="157">
        <v>0.4</v>
      </c>
      <c r="F66" s="67" t="s">
        <v>133</v>
      </c>
      <c r="M66" s="171"/>
      <c r="O66" s="191"/>
    </row>
    <row r="67" spans="1:15" ht="12.75">
      <c r="A67" s="38">
        <f t="shared" si="0"/>
        <v>39</v>
      </c>
      <c r="B67" s="151">
        <v>3</v>
      </c>
      <c r="C67" s="152" t="s">
        <v>171</v>
      </c>
      <c r="D67" s="157">
        <v>0.8</v>
      </c>
      <c r="F67" s="67" t="s">
        <v>133</v>
      </c>
      <c r="M67" s="171"/>
      <c r="O67" s="191"/>
    </row>
    <row r="68" spans="1:15" ht="12.75">
      <c r="A68" s="38">
        <f t="shared" si="0"/>
        <v>40</v>
      </c>
      <c r="B68" s="151">
        <v>3</v>
      </c>
      <c r="C68" s="153" t="s">
        <v>317</v>
      </c>
      <c r="D68" s="157">
        <v>0.7</v>
      </c>
      <c r="F68" s="67" t="s">
        <v>133</v>
      </c>
      <c r="M68" s="171"/>
      <c r="O68" s="191"/>
    </row>
    <row r="69" spans="1:15" ht="12.75">
      <c r="A69" s="38">
        <f t="shared" si="0"/>
        <v>41</v>
      </c>
      <c r="B69" s="151">
        <v>9</v>
      </c>
      <c r="C69" s="153" t="s">
        <v>318</v>
      </c>
      <c r="D69" s="157">
        <v>0</v>
      </c>
      <c r="F69" s="67" t="s">
        <v>133</v>
      </c>
      <c r="M69" s="171"/>
      <c r="O69" s="191"/>
    </row>
    <row r="70" spans="1:15" ht="12.75">
      <c r="A70" s="38">
        <f t="shared" si="0"/>
        <v>42</v>
      </c>
      <c r="B70" s="151">
        <v>6</v>
      </c>
      <c r="C70" s="152" t="s">
        <v>181</v>
      </c>
      <c r="D70" s="157">
        <v>1</v>
      </c>
      <c r="F70" s="67" t="s">
        <v>133</v>
      </c>
      <c r="M70" s="171"/>
      <c r="O70" s="191"/>
    </row>
    <row r="71" spans="1:15" ht="12.75">
      <c r="A71" s="38">
        <f t="shared" si="0"/>
        <v>43</v>
      </c>
      <c r="B71" s="151">
        <v>6</v>
      </c>
      <c r="C71" s="152" t="s">
        <v>182</v>
      </c>
      <c r="D71" s="157">
        <v>1</v>
      </c>
      <c r="F71" s="67" t="s">
        <v>133</v>
      </c>
      <c r="M71" s="171"/>
      <c r="O71" s="191"/>
    </row>
    <row r="72" spans="1:15" ht="12.75">
      <c r="A72" s="38">
        <f t="shared" si="0"/>
        <v>44</v>
      </c>
      <c r="B72" s="151">
        <v>8</v>
      </c>
      <c r="C72" s="152" t="s">
        <v>172</v>
      </c>
      <c r="D72" s="157">
        <v>1</v>
      </c>
      <c r="F72" s="67" t="s">
        <v>133</v>
      </c>
      <c r="M72" s="171"/>
      <c r="O72" s="191"/>
    </row>
    <row r="73" spans="1:15" ht="12.75">
      <c r="A73" s="38">
        <f t="shared" si="0"/>
        <v>45</v>
      </c>
      <c r="B73" s="151">
        <v>8</v>
      </c>
      <c r="C73" s="152" t="s">
        <v>173</v>
      </c>
      <c r="D73" s="157">
        <v>0.9</v>
      </c>
      <c r="F73" s="67" t="s">
        <v>133</v>
      </c>
      <c r="M73" s="186"/>
      <c r="O73" s="217"/>
    </row>
    <row r="74" spans="1:15" ht="12.75">
      <c r="A74" s="38">
        <f t="shared" si="0"/>
        <v>46</v>
      </c>
      <c r="B74" s="151">
        <v>5</v>
      </c>
      <c r="C74" s="153" t="s">
        <v>319</v>
      </c>
      <c r="D74" s="157">
        <v>1</v>
      </c>
      <c r="F74" s="67" t="s">
        <v>133</v>
      </c>
      <c r="M74" s="186"/>
      <c r="O74" s="217"/>
    </row>
    <row r="75" spans="1:15" ht="12.75">
      <c r="A75" s="38">
        <f t="shared" si="0"/>
        <v>47</v>
      </c>
      <c r="B75" s="151">
        <v>5</v>
      </c>
      <c r="C75" s="152" t="s">
        <v>174</v>
      </c>
      <c r="D75" s="157">
        <v>1</v>
      </c>
      <c r="F75" s="67" t="s">
        <v>133</v>
      </c>
      <c r="M75" s="186"/>
      <c r="O75" s="217"/>
    </row>
    <row r="76" spans="1:15" ht="12.75">
      <c r="A76" s="38">
        <f t="shared" si="0"/>
        <v>48</v>
      </c>
      <c r="B76" s="151">
        <v>5</v>
      </c>
      <c r="C76" s="152" t="s">
        <v>175</v>
      </c>
      <c r="D76" s="157">
        <v>1</v>
      </c>
      <c r="F76" s="67" t="s">
        <v>133</v>
      </c>
      <c r="M76" s="186"/>
      <c r="O76" s="217"/>
    </row>
    <row r="77" spans="1:15" ht="12.75">
      <c r="A77" s="38">
        <f t="shared" si="0"/>
        <v>49</v>
      </c>
      <c r="B77" s="151">
        <v>5</v>
      </c>
      <c r="C77" s="152" t="s">
        <v>176</v>
      </c>
      <c r="D77" s="157">
        <v>0.9</v>
      </c>
      <c r="F77" s="67" t="s">
        <v>133</v>
      </c>
      <c r="M77" s="186"/>
      <c r="O77" s="217"/>
    </row>
    <row r="78" spans="1:15" ht="12.75">
      <c r="A78" s="38">
        <f t="shared" si="0"/>
        <v>50</v>
      </c>
      <c r="B78" s="151">
        <v>5</v>
      </c>
      <c r="C78" s="152" t="s">
        <v>177</v>
      </c>
      <c r="D78" s="157">
        <v>0.7</v>
      </c>
      <c r="F78" s="67" t="s">
        <v>133</v>
      </c>
      <c r="M78" s="186"/>
      <c r="O78" s="217"/>
    </row>
    <row r="79" spans="1:15" ht="12.75">
      <c r="A79" s="38">
        <f t="shared" si="0"/>
        <v>51</v>
      </c>
      <c r="B79" s="151">
        <v>5</v>
      </c>
      <c r="C79" s="152" t="s">
        <v>178</v>
      </c>
      <c r="D79" s="157">
        <v>1</v>
      </c>
      <c r="F79" s="67" t="s">
        <v>133</v>
      </c>
      <c r="M79" s="186"/>
      <c r="O79" s="217"/>
    </row>
    <row r="80" spans="1:15" ht="12.75">
      <c r="A80" s="38">
        <f t="shared" si="0"/>
        <v>52</v>
      </c>
      <c r="B80" s="151">
        <v>5</v>
      </c>
      <c r="C80" s="152" t="s">
        <v>179</v>
      </c>
      <c r="D80" s="157">
        <v>0.9</v>
      </c>
      <c r="F80" s="67" t="s">
        <v>133</v>
      </c>
      <c r="M80" s="186"/>
      <c r="O80" s="217"/>
    </row>
    <row r="81" spans="1:15" ht="12.75">
      <c r="A81" s="38">
        <f t="shared" si="0"/>
        <v>53</v>
      </c>
      <c r="B81" s="151">
        <v>5</v>
      </c>
      <c r="C81" s="152" t="s">
        <v>180</v>
      </c>
      <c r="D81" s="157">
        <v>1</v>
      </c>
      <c r="F81" s="67" t="s">
        <v>133</v>
      </c>
      <c r="M81" s="186"/>
      <c r="O81" s="217"/>
    </row>
    <row r="82" spans="1:15" ht="12.75">
      <c r="A82" s="38">
        <f t="shared" si="0"/>
        <v>54</v>
      </c>
      <c r="B82" s="151">
        <v>6</v>
      </c>
      <c r="C82" s="152" t="s">
        <v>183</v>
      </c>
      <c r="D82" s="157">
        <v>0.8</v>
      </c>
      <c r="F82" s="67" t="s">
        <v>133</v>
      </c>
      <c r="M82" s="186"/>
      <c r="O82" s="217"/>
    </row>
    <row r="83" spans="1:15" ht="12.75">
      <c r="A83" s="38">
        <f t="shared" si="0"/>
        <v>55</v>
      </c>
      <c r="B83" s="151">
        <v>6</v>
      </c>
      <c r="C83" s="152" t="s">
        <v>184</v>
      </c>
      <c r="D83" s="157">
        <v>0.8</v>
      </c>
      <c r="F83" s="67" t="s">
        <v>133</v>
      </c>
      <c r="M83" s="186"/>
      <c r="O83" s="217"/>
    </row>
    <row r="84" spans="1:15" ht="12.75">
      <c r="A84" s="38">
        <f t="shared" si="0"/>
        <v>56</v>
      </c>
      <c r="B84" s="151">
        <v>6</v>
      </c>
      <c r="C84" s="152" t="s">
        <v>185</v>
      </c>
      <c r="D84" s="157">
        <v>0.9</v>
      </c>
      <c r="F84" s="67" t="s">
        <v>133</v>
      </c>
      <c r="M84" s="186"/>
      <c r="O84" s="217"/>
    </row>
    <row r="85" spans="1:15" ht="12.75">
      <c r="A85" s="38">
        <f t="shared" si="0"/>
        <v>57</v>
      </c>
      <c r="B85" s="151">
        <v>6</v>
      </c>
      <c r="C85" s="152" t="s">
        <v>186</v>
      </c>
      <c r="D85" s="157">
        <v>0.8</v>
      </c>
      <c r="F85" s="67" t="s">
        <v>133</v>
      </c>
      <c r="M85" s="186"/>
      <c r="O85" s="217"/>
    </row>
    <row r="86" spans="1:15" ht="12.75">
      <c r="A86" s="38">
        <f t="shared" si="0"/>
        <v>58</v>
      </c>
      <c r="B86" s="151">
        <v>6</v>
      </c>
      <c r="C86" s="152" t="s">
        <v>187</v>
      </c>
      <c r="D86" s="157">
        <v>0.7</v>
      </c>
      <c r="F86" s="67" t="s">
        <v>133</v>
      </c>
      <c r="M86" s="186"/>
      <c r="O86" s="217"/>
    </row>
    <row r="87" spans="1:15" ht="12.75">
      <c r="A87" s="38">
        <f t="shared" si="0"/>
        <v>59</v>
      </c>
      <c r="B87" s="151">
        <v>4</v>
      </c>
      <c r="C87" s="152" t="s">
        <v>188</v>
      </c>
      <c r="D87" s="157">
        <v>1.3</v>
      </c>
      <c r="F87" s="67" t="s">
        <v>133</v>
      </c>
      <c r="M87" s="186"/>
      <c r="O87" s="217"/>
    </row>
    <row r="88" spans="1:15" ht="12.75">
      <c r="A88" s="38">
        <f t="shared" si="0"/>
        <v>60</v>
      </c>
      <c r="B88" s="151">
        <v>4</v>
      </c>
      <c r="C88" s="152" t="s">
        <v>189</v>
      </c>
      <c r="D88" s="157">
        <v>1.4</v>
      </c>
      <c r="F88" s="67" t="s">
        <v>133</v>
      </c>
      <c r="M88" s="186"/>
      <c r="O88" s="217"/>
    </row>
    <row r="89" spans="1:15" ht="12.75">
      <c r="A89" s="38">
        <f t="shared" si="0"/>
        <v>61</v>
      </c>
      <c r="B89" s="151">
        <v>4</v>
      </c>
      <c r="C89" s="152" t="s">
        <v>190</v>
      </c>
      <c r="D89" s="157">
        <v>1.3</v>
      </c>
      <c r="F89" s="67" t="s">
        <v>133</v>
      </c>
      <c r="M89" s="186"/>
      <c r="O89" s="217"/>
    </row>
    <row r="90" spans="1:15" ht="12.75">
      <c r="A90" s="38">
        <f t="shared" si="0"/>
        <v>62</v>
      </c>
      <c r="B90" s="151">
        <v>4</v>
      </c>
      <c r="C90" s="153" t="s">
        <v>320</v>
      </c>
      <c r="D90" s="157">
        <v>1.2</v>
      </c>
      <c r="F90" s="67" t="s">
        <v>133</v>
      </c>
      <c r="M90" s="186"/>
      <c r="O90" s="217"/>
    </row>
    <row r="91" spans="1:15" ht="12.75">
      <c r="A91" s="38">
        <f t="shared" si="0"/>
        <v>63</v>
      </c>
      <c r="B91" s="151">
        <v>7</v>
      </c>
      <c r="C91" s="152" t="s">
        <v>191</v>
      </c>
      <c r="D91" s="157">
        <v>0.7</v>
      </c>
      <c r="F91" s="67" t="s">
        <v>133</v>
      </c>
      <c r="M91" s="186"/>
      <c r="O91" s="217"/>
    </row>
    <row r="92" spans="1:15" ht="12.75">
      <c r="A92" s="38">
        <f t="shared" si="0"/>
        <v>64</v>
      </c>
      <c r="B92" s="151">
        <v>7</v>
      </c>
      <c r="C92" s="152" t="s">
        <v>192</v>
      </c>
      <c r="D92" s="157">
        <v>0.7</v>
      </c>
      <c r="F92" s="67" t="s">
        <v>133</v>
      </c>
      <c r="M92" s="186"/>
      <c r="O92" s="217"/>
    </row>
    <row r="93" spans="1:15" ht="12.75">
      <c r="A93" s="38">
        <f t="shared" si="0"/>
        <v>65</v>
      </c>
      <c r="B93" s="151">
        <v>7</v>
      </c>
      <c r="C93" s="152" t="s">
        <v>193</v>
      </c>
      <c r="D93" s="157">
        <v>0.6</v>
      </c>
      <c r="F93" s="67" t="s">
        <v>133</v>
      </c>
      <c r="M93" s="186"/>
      <c r="O93" s="217"/>
    </row>
    <row r="94" spans="1:15" ht="12.75">
      <c r="A94" s="38">
        <f t="shared" si="0"/>
        <v>66</v>
      </c>
      <c r="B94" s="151">
        <v>7</v>
      </c>
      <c r="C94" s="152" t="s">
        <v>194</v>
      </c>
      <c r="D94" s="157">
        <v>1</v>
      </c>
      <c r="F94" s="67" t="s">
        <v>133</v>
      </c>
      <c r="M94" s="186"/>
      <c r="O94" s="217"/>
    </row>
    <row r="95" spans="1:15" ht="12.75">
      <c r="A95" s="38">
        <f aca="true" t="shared" si="2" ref="A95:A158">1+A94</f>
        <v>67</v>
      </c>
      <c r="B95" s="151">
        <v>1</v>
      </c>
      <c r="C95" s="152" t="s">
        <v>197</v>
      </c>
      <c r="D95" s="157">
        <v>0.9</v>
      </c>
      <c r="F95" s="67" t="s">
        <v>133</v>
      </c>
      <c r="M95" s="186"/>
      <c r="O95" s="217"/>
    </row>
    <row r="96" spans="1:15" ht="12.75">
      <c r="A96" s="38">
        <f t="shared" si="2"/>
        <v>68</v>
      </c>
      <c r="B96" s="151">
        <v>1</v>
      </c>
      <c r="C96" s="152" t="s">
        <v>198</v>
      </c>
      <c r="D96" s="157">
        <v>1</v>
      </c>
      <c r="F96" s="67" t="s">
        <v>133</v>
      </c>
      <c r="M96" s="186"/>
      <c r="O96" s="217"/>
    </row>
    <row r="97" spans="1:15" ht="12.75">
      <c r="A97" s="38">
        <f t="shared" si="2"/>
        <v>69</v>
      </c>
      <c r="B97" s="151">
        <v>3</v>
      </c>
      <c r="C97" s="152" t="s">
        <v>196</v>
      </c>
      <c r="D97" s="157">
        <v>1.3</v>
      </c>
      <c r="F97" s="67" t="s">
        <v>133</v>
      </c>
      <c r="M97" s="186"/>
      <c r="O97" s="217"/>
    </row>
    <row r="98" spans="1:15" ht="12.75">
      <c r="A98" s="38">
        <f t="shared" si="2"/>
        <v>70</v>
      </c>
      <c r="B98" s="151">
        <v>1</v>
      </c>
      <c r="C98" s="152" t="s">
        <v>195</v>
      </c>
      <c r="D98" s="157">
        <v>1.1</v>
      </c>
      <c r="F98" s="67" t="s">
        <v>133</v>
      </c>
      <c r="M98" s="186"/>
      <c r="O98" s="217"/>
    </row>
    <row r="99" spans="1:15" ht="12.75">
      <c r="A99" s="38">
        <f t="shared" si="2"/>
        <v>71</v>
      </c>
      <c r="B99" s="151">
        <v>5</v>
      </c>
      <c r="C99" s="152" t="s">
        <v>199</v>
      </c>
      <c r="D99" s="157">
        <v>1</v>
      </c>
      <c r="F99" s="67" t="s">
        <v>133</v>
      </c>
      <c r="M99" s="186"/>
      <c r="O99" s="217"/>
    </row>
    <row r="100" spans="1:15" ht="12.75">
      <c r="A100" s="38">
        <f t="shared" si="2"/>
        <v>72</v>
      </c>
      <c r="B100" s="151">
        <v>5</v>
      </c>
      <c r="C100" s="152" t="s">
        <v>200</v>
      </c>
      <c r="D100" s="157">
        <v>1.1</v>
      </c>
      <c r="F100" s="67" t="s">
        <v>133</v>
      </c>
      <c r="M100" s="186"/>
      <c r="O100" s="217"/>
    </row>
    <row r="101" spans="1:15" ht="12.75">
      <c r="A101" s="38">
        <f t="shared" si="2"/>
        <v>73</v>
      </c>
      <c r="B101" s="151">
        <v>5</v>
      </c>
      <c r="C101" s="152" t="s">
        <v>201</v>
      </c>
      <c r="D101" s="157">
        <v>1.1</v>
      </c>
      <c r="F101" s="67" t="s">
        <v>133</v>
      </c>
      <c r="M101" s="186"/>
      <c r="O101" s="217"/>
    </row>
    <row r="102" spans="1:15" ht="12.75">
      <c r="A102" s="38">
        <f t="shared" si="2"/>
        <v>74</v>
      </c>
      <c r="B102" s="151">
        <v>5</v>
      </c>
      <c r="C102" s="152" t="s">
        <v>202</v>
      </c>
      <c r="D102" s="157">
        <v>1.1</v>
      </c>
      <c r="F102" s="67" t="s">
        <v>133</v>
      </c>
      <c r="M102" s="186"/>
      <c r="O102" s="217"/>
    </row>
    <row r="103" spans="1:15" ht="12.75">
      <c r="A103" s="38">
        <f t="shared" si="2"/>
        <v>75</v>
      </c>
      <c r="B103" s="151">
        <v>6</v>
      </c>
      <c r="C103" s="152" t="s">
        <v>203</v>
      </c>
      <c r="D103" s="157">
        <v>1.5</v>
      </c>
      <c r="F103" s="67" t="s">
        <v>133</v>
      </c>
      <c r="M103" s="186"/>
      <c r="O103" s="217"/>
    </row>
    <row r="104" spans="1:15" ht="12.75">
      <c r="A104" s="38">
        <f t="shared" si="2"/>
        <v>76</v>
      </c>
      <c r="B104" s="151">
        <v>6</v>
      </c>
      <c r="C104" s="152" t="s">
        <v>204</v>
      </c>
      <c r="D104" s="157">
        <v>1.2</v>
      </c>
      <c r="F104" s="67" t="s">
        <v>133</v>
      </c>
      <c r="M104" s="186"/>
      <c r="O104" s="217"/>
    </row>
    <row r="105" spans="1:15" ht="12.75">
      <c r="A105" s="38">
        <f t="shared" si="2"/>
        <v>77</v>
      </c>
      <c r="B105" s="151">
        <v>6</v>
      </c>
      <c r="C105" s="152" t="s">
        <v>205</v>
      </c>
      <c r="D105" s="157">
        <v>1.3</v>
      </c>
      <c r="F105" s="67" t="s">
        <v>133</v>
      </c>
      <c r="M105" s="186"/>
      <c r="O105" s="217"/>
    </row>
    <row r="106" spans="1:15" ht="12.75">
      <c r="A106" s="38">
        <f t="shared" si="2"/>
        <v>78</v>
      </c>
      <c r="B106" s="151">
        <v>6</v>
      </c>
      <c r="C106" s="152" t="s">
        <v>208</v>
      </c>
      <c r="D106" s="157">
        <v>0.8</v>
      </c>
      <c r="F106" s="67" t="s">
        <v>133</v>
      </c>
      <c r="M106" s="186"/>
      <c r="O106" s="217"/>
    </row>
    <row r="107" spans="1:15" ht="12.75">
      <c r="A107" s="38">
        <f t="shared" si="2"/>
        <v>79</v>
      </c>
      <c r="B107" s="151">
        <v>6</v>
      </c>
      <c r="C107" s="152" t="s">
        <v>209</v>
      </c>
      <c r="D107" s="157">
        <v>0.8</v>
      </c>
      <c r="F107" s="67" t="s">
        <v>133</v>
      </c>
      <c r="M107" s="186"/>
      <c r="O107" s="217"/>
    </row>
    <row r="108" spans="1:15" ht="12.75">
      <c r="A108" s="38">
        <f t="shared" si="2"/>
        <v>80</v>
      </c>
      <c r="B108" s="151">
        <v>6</v>
      </c>
      <c r="C108" s="152" t="s">
        <v>211</v>
      </c>
      <c r="D108" s="157">
        <v>0.7</v>
      </c>
      <c r="F108" s="67" t="s">
        <v>133</v>
      </c>
      <c r="M108" s="186"/>
      <c r="O108" s="217"/>
    </row>
    <row r="109" spans="1:15" ht="12.75">
      <c r="A109" s="38">
        <f t="shared" si="2"/>
        <v>81</v>
      </c>
      <c r="B109" s="151">
        <v>6</v>
      </c>
      <c r="C109" s="152" t="s">
        <v>210</v>
      </c>
      <c r="D109" s="157">
        <v>0.7</v>
      </c>
      <c r="F109" s="67" t="s">
        <v>133</v>
      </c>
      <c r="M109" s="186"/>
      <c r="O109" s="217"/>
    </row>
    <row r="110" spans="1:15" ht="12.75">
      <c r="A110" s="38">
        <f t="shared" si="2"/>
        <v>82</v>
      </c>
      <c r="B110" s="151">
        <v>4</v>
      </c>
      <c r="C110" s="152" t="s">
        <v>206</v>
      </c>
      <c r="D110" s="157">
        <v>0.7</v>
      </c>
      <c r="F110" s="67" t="s">
        <v>133</v>
      </c>
      <c r="M110" s="186"/>
      <c r="O110" s="217"/>
    </row>
    <row r="111" spans="1:15" ht="12.75">
      <c r="A111" s="38">
        <f t="shared" si="2"/>
        <v>83</v>
      </c>
      <c r="B111" s="151">
        <v>4</v>
      </c>
      <c r="C111" s="152" t="s">
        <v>207</v>
      </c>
      <c r="D111" s="157">
        <v>0.7</v>
      </c>
      <c r="F111" s="67" t="s">
        <v>133</v>
      </c>
      <c r="M111" s="186"/>
      <c r="O111" s="217"/>
    </row>
    <row r="112" spans="1:15" ht="12.75">
      <c r="A112" s="38">
        <f t="shared" si="2"/>
        <v>84</v>
      </c>
      <c r="B112" s="151">
        <v>8</v>
      </c>
      <c r="C112" s="152" t="s">
        <v>212</v>
      </c>
      <c r="D112" s="157">
        <v>1.3</v>
      </c>
      <c r="F112" s="67" t="s">
        <v>133</v>
      </c>
      <c r="M112" s="186"/>
      <c r="O112" s="217"/>
    </row>
    <row r="113" spans="1:15" ht="12.75">
      <c r="A113" s="38">
        <f t="shared" si="2"/>
        <v>85</v>
      </c>
      <c r="B113" s="151">
        <v>8</v>
      </c>
      <c r="C113" s="152" t="s">
        <v>213</v>
      </c>
      <c r="D113" s="157">
        <v>1.4</v>
      </c>
      <c r="F113" s="67" t="s">
        <v>133</v>
      </c>
      <c r="M113" s="186"/>
      <c r="O113" s="217"/>
    </row>
    <row r="114" spans="1:15" ht="12.75">
      <c r="A114" s="38">
        <f t="shared" si="2"/>
        <v>86</v>
      </c>
      <c r="B114" s="151">
        <v>8</v>
      </c>
      <c r="C114" s="152" t="s">
        <v>214</v>
      </c>
      <c r="D114" s="157">
        <v>1.4</v>
      </c>
      <c r="F114" s="67" t="s">
        <v>133</v>
      </c>
      <c r="M114" s="186"/>
      <c r="O114" s="217"/>
    </row>
    <row r="115" spans="1:15" ht="12.75">
      <c r="A115" s="38">
        <f t="shared" si="2"/>
        <v>87</v>
      </c>
      <c r="B115" s="151">
        <v>8</v>
      </c>
      <c r="C115" s="152" t="s">
        <v>215</v>
      </c>
      <c r="D115" s="157">
        <v>1.4</v>
      </c>
      <c r="F115" s="67" t="s">
        <v>133</v>
      </c>
      <c r="M115" s="186"/>
      <c r="O115" s="217"/>
    </row>
    <row r="116" spans="1:15" ht="12.75">
      <c r="A116" s="38">
        <f t="shared" si="2"/>
        <v>88</v>
      </c>
      <c r="B116" s="151">
        <v>3</v>
      </c>
      <c r="C116" s="152" t="s">
        <v>234</v>
      </c>
      <c r="D116" s="157">
        <v>1.1</v>
      </c>
      <c r="F116" s="67" t="s">
        <v>133</v>
      </c>
      <c r="M116" s="186"/>
      <c r="O116" s="217"/>
    </row>
    <row r="117" spans="1:15" ht="12.75">
      <c r="A117" s="38">
        <f t="shared" si="2"/>
        <v>89</v>
      </c>
      <c r="B117" s="151">
        <v>3</v>
      </c>
      <c r="C117" s="152" t="s">
        <v>235</v>
      </c>
      <c r="D117" s="157">
        <v>0.9</v>
      </c>
      <c r="F117" s="67" t="s">
        <v>133</v>
      </c>
      <c r="M117" s="186"/>
      <c r="O117" s="217"/>
    </row>
    <row r="118" spans="1:15" ht="12.75">
      <c r="A118" s="38">
        <f t="shared" si="2"/>
        <v>90</v>
      </c>
      <c r="B118" s="151">
        <v>3</v>
      </c>
      <c r="C118" s="152" t="s">
        <v>236</v>
      </c>
      <c r="D118" s="157">
        <v>0.9</v>
      </c>
      <c r="F118" s="67" t="s">
        <v>133</v>
      </c>
      <c r="M118" s="186"/>
      <c r="O118" s="217"/>
    </row>
    <row r="119" spans="1:15" ht="12.75">
      <c r="A119" s="38">
        <f t="shared" si="2"/>
        <v>91</v>
      </c>
      <c r="B119" s="151">
        <v>6</v>
      </c>
      <c r="C119" s="152" t="s">
        <v>237</v>
      </c>
      <c r="D119" s="157">
        <v>1.3</v>
      </c>
      <c r="F119" s="67" t="s">
        <v>133</v>
      </c>
      <c r="M119" s="186"/>
      <c r="O119" s="217"/>
    </row>
    <row r="120" spans="1:15" ht="12.75">
      <c r="A120" s="38">
        <f t="shared" si="2"/>
        <v>92</v>
      </c>
      <c r="B120" s="151">
        <v>6</v>
      </c>
      <c r="C120" s="152" t="s">
        <v>238</v>
      </c>
      <c r="D120" s="157">
        <v>1.4</v>
      </c>
      <c r="F120" s="67" t="s">
        <v>133</v>
      </c>
      <c r="M120" s="186"/>
      <c r="O120" s="217"/>
    </row>
    <row r="121" spans="1:15" ht="12.75">
      <c r="A121" s="38">
        <f t="shared" si="2"/>
        <v>93</v>
      </c>
      <c r="B121" s="151">
        <v>6</v>
      </c>
      <c r="C121" s="152" t="s">
        <v>216</v>
      </c>
      <c r="D121" s="157">
        <v>1</v>
      </c>
      <c r="F121" s="67" t="s">
        <v>133</v>
      </c>
      <c r="M121" s="186"/>
      <c r="O121" s="217"/>
    </row>
    <row r="122" spans="1:15" ht="12.75">
      <c r="A122" s="38">
        <f t="shared" si="2"/>
        <v>94</v>
      </c>
      <c r="B122" s="151">
        <v>6</v>
      </c>
      <c r="C122" s="152" t="s">
        <v>217</v>
      </c>
      <c r="D122" s="157">
        <v>0.9</v>
      </c>
      <c r="F122" s="67" t="s">
        <v>133</v>
      </c>
      <c r="M122" s="186"/>
      <c r="O122" s="217"/>
    </row>
    <row r="123" spans="1:15" ht="12.75">
      <c r="A123" s="38">
        <f t="shared" si="2"/>
        <v>95</v>
      </c>
      <c r="B123" s="151">
        <v>6</v>
      </c>
      <c r="C123" s="152" t="s">
        <v>218</v>
      </c>
      <c r="D123" s="157">
        <v>0.9</v>
      </c>
      <c r="F123" s="67" t="s">
        <v>133</v>
      </c>
      <c r="M123" s="186"/>
      <c r="O123" s="217"/>
    </row>
    <row r="124" spans="1:15" ht="12.75">
      <c r="A124" s="38">
        <f t="shared" si="2"/>
        <v>96</v>
      </c>
      <c r="B124" s="151">
        <v>6</v>
      </c>
      <c r="C124" s="152" t="s">
        <v>219</v>
      </c>
      <c r="D124" s="157">
        <v>1</v>
      </c>
      <c r="F124" s="67" t="s">
        <v>133</v>
      </c>
      <c r="M124" s="186"/>
      <c r="O124" s="217"/>
    </row>
    <row r="125" spans="1:15" ht="12.75">
      <c r="A125" s="38">
        <f t="shared" si="2"/>
        <v>97</v>
      </c>
      <c r="B125" s="151">
        <v>1</v>
      </c>
      <c r="C125" s="152" t="s">
        <v>223</v>
      </c>
      <c r="D125" s="157">
        <v>1.1</v>
      </c>
      <c r="F125" s="67" t="s">
        <v>133</v>
      </c>
      <c r="M125" s="186"/>
      <c r="O125" s="217"/>
    </row>
    <row r="126" spans="1:15" ht="12.75">
      <c r="A126" s="38">
        <f t="shared" si="2"/>
        <v>98</v>
      </c>
      <c r="B126" s="151">
        <v>3</v>
      </c>
      <c r="C126" s="153" t="s">
        <v>321</v>
      </c>
      <c r="D126" s="157">
        <v>1.2</v>
      </c>
      <c r="F126" s="67" t="s">
        <v>133</v>
      </c>
      <c r="M126" s="186"/>
      <c r="O126" s="217"/>
    </row>
    <row r="127" spans="1:15" ht="12.75">
      <c r="A127" s="38">
        <f t="shared" si="2"/>
        <v>99</v>
      </c>
      <c r="B127" s="151">
        <v>3</v>
      </c>
      <c r="C127" s="152" t="s">
        <v>224</v>
      </c>
      <c r="D127" s="157">
        <v>1.3</v>
      </c>
      <c r="F127" s="67" t="s">
        <v>133</v>
      </c>
      <c r="M127" s="186"/>
      <c r="O127" s="217"/>
    </row>
    <row r="128" spans="1:15" ht="12.75">
      <c r="A128" s="38">
        <f t="shared" si="2"/>
        <v>100</v>
      </c>
      <c r="B128" s="151">
        <v>8</v>
      </c>
      <c r="C128" s="152" t="s">
        <v>225</v>
      </c>
      <c r="D128" s="157">
        <v>0.8</v>
      </c>
      <c r="F128" s="67" t="s">
        <v>133</v>
      </c>
      <c r="M128" s="186"/>
      <c r="O128" s="217"/>
    </row>
    <row r="129" spans="1:15" ht="12.75">
      <c r="A129" s="38">
        <f t="shared" si="2"/>
        <v>101</v>
      </c>
      <c r="B129" s="151">
        <v>8</v>
      </c>
      <c r="C129" s="152" t="s">
        <v>226</v>
      </c>
      <c r="D129" s="157">
        <v>0.9</v>
      </c>
      <c r="F129" s="67" t="s">
        <v>133</v>
      </c>
      <c r="M129" s="186"/>
      <c r="O129" s="217"/>
    </row>
    <row r="130" spans="1:15" ht="12.75">
      <c r="A130" s="38">
        <f t="shared" si="2"/>
        <v>102</v>
      </c>
      <c r="B130" s="151">
        <v>8</v>
      </c>
      <c r="C130" s="152" t="s">
        <v>227</v>
      </c>
      <c r="D130" s="157">
        <v>0.6</v>
      </c>
      <c r="F130" s="67" t="s">
        <v>133</v>
      </c>
      <c r="M130" s="186"/>
      <c r="O130" s="217"/>
    </row>
    <row r="131" spans="1:15" ht="12.75">
      <c r="A131" s="38">
        <f t="shared" si="2"/>
        <v>103</v>
      </c>
      <c r="B131" s="151">
        <v>8</v>
      </c>
      <c r="C131" s="152" t="s">
        <v>220</v>
      </c>
      <c r="D131" s="157">
        <v>0.4</v>
      </c>
      <c r="F131" s="67" t="s">
        <v>133</v>
      </c>
      <c r="M131" s="186"/>
      <c r="O131" s="217"/>
    </row>
    <row r="132" spans="1:15" ht="12.75">
      <c r="A132" s="38">
        <f t="shared" si="2"/>
        <v>104</v>
      </c>
      <c r="B132" s="151">
        <v>8</v>
      </c>
      <c r="C132" s="152" t="s">
        <v>221</v>
      </c>
      <c r="D132" s="157">
        <v>1</v>
      </c>
      <c r="F132" s="67" t="s">
        <v>133</v>
      </c>
      <c r="M132" s="186"/>
      <c r="O132" s="217"/>
    </row>
    <row r="133" spans="1:15" ht="12.75">
      <c r="A133" s="38">
        <f t="shared" si="2"/>
        <v>105</v>
      </c>
      <c r="B133" s="151">
        <v>8</v>
      </c>
      <c r="C133" s="152" t="s">
        <v>222</v>
      </c>
      <c r="D133" s="157">
        <v>1.1</v>
      </c>
      <c r="F133" s="67" t="s">
        <v>133</v>
      </c>
      <c r="M133" s="186"/>
      <c r="O133" s="217"/>
    </row>
    <row r="134" spans="1:15" ht="12.75">
      <c r="A134" s="38">
        <f t="shared" si="2"/>
        <v>106</v>
      </c>
      <c r="B134" s="151">
        <v>2</v>
      </c>
      <c r="C134" s="152" t="s">
        <v>228</v>
      </c>
      <c r="D134" s="157">
        <v>1.1</v>
      </c>
      <c r="F134" s="67" t="s">
        <v>133</v>
      </c>
      <c r="M134" s="186"/>
      <c r="O134" s="217"/>
    </row>
    <row r="135" spans="1:15" ht="12.75">
      <c r="A135" s="38">
        <f t="shared" si="2"/>
        <v>107</v>
      </c>
      <c r="B135" s="151">
        <v>2</v>
      </c>
      <c r="C135" s="152" t="s">
        <v>229</v>
      </c>
      <c r="D135" s="157">
        <v>1.2</v>
      </c>
      <c r="F135" s="67" t="s">
        <v>133</v>
      </c>
      <c r="M135" s="186"/>
      <c r="O135" s="217"/>
    </row>
    <row r="136" spans="1:15" ht="12.75">
      <c r="A136" s="38">
        <f t="shared" si="2"/>
        <v>108</v>
      </c>
      <c r="B136" s="151">
        <v>2</v>
      </c>
      <c r="C136" s="152" t="s">
        <v>230</v>
      </c>
      <c r="D136" s="157">
        <v>1.1</v>
      </c>
      <c r="F136" s="67" t="s">
        <v>133</v>
      </c>
      <c r="M136" s="186"/>
      <c r="O136" s="217"/>
    </row>
    <row r="137" spans="1:15" ht="12.75">
      <c r="A137" s="38">
        <f t="shared" si="2"/>
        <v>109</v>
      </c>
      <c r="B137" s="151">
        <v>2</v>
      </c>
      <c r="C137" s="152" t="s">
        <v>231</v>
      </c>
      <c r="D137" s="157">
        <v>0.9</v>
      </c>
      <c r="F137" s="67" t="s">
        <v>133</v>
      </c>
      <c r="M137" s="186"/>
      <c r="O137" s="217"/>
    </row>
    <row r="138" spans="1:15" ht="12.75">
      <c r="A138" s="38">
        <f t="shared" si="2"/>
        <v>110</v>
      </c>
      <c r="B138" s="151">
        <v>2</v>
      </c>
      <c r="C138" s="152" t="s">
        <v>232</v>
      </c>
      <c r="D138" s="157">
        <v>0.8</v>
      </c>
      <c r="F138" s="67" t="s">
        <v>133</v>
      </c>
      <c r="M138" s="186"/>
      <c r="O138" s="217"/>
    </row>
    <row r="139" spans="1:15" ht="12.75">
      <c r="A139" s="38">
        <f t="shared" si="2"/>
        <v>111</v>
      </c>
      <c r="B139" s="151">
        <v>2</v>
      </c>
      <c r="C139" s="152" t="s">
        <v>233</v>
      </c>
      <c r="D139" s="157">
        <v>1.1</v>
      </c>
      <c r="F139" s="67" t="s">
        <v>133</v>
      </c>
      <c r="M139" s="186"/>
      <c r="O139" s="217"/>
    </row>
    <row r="140" spans="1:15" ht="12.75">
      <c r="A140" s="38">
        <f t="shared" si="2"/>
        <v>112</v>
      </c>
      <c r="B140" s="151">
        <v>5</v>
      </c>
      <c r="C140" s="152" t="s">
        <v>239</v>
      </c>
      <c r="D140" s="157">
        <v>1</v>
      </c>
      <c r="F140" s="67" t="s">
        <v>133</v>
      </c>
      <c r="M140" s="186"/>
      <c r="O140" s="217"/>
    </row>
    <row r="141" spans="1:15" ht="12.75">
      <c r="A141" s="38">
        <f t="shared" si="2"/>
        <v>113</v>
      </c>
      <c r="B141" s="151">
        <v>5</v>
      </c>
      <c r="C141" s="153" t="s">
        <v>240</v>
      </c>
      <c r="D141" s="157">
        <v>0.8</v>
      </c>
      <c r="F141" s="67" t="s">
        <v>133</v>
      </c>
      <c r="M141" s="186"/>
      <c r="O141" s="217"/>
    </row>
    <row r="142" spans="1:15" ht="12.75">
      <c r="A142" s="38">
        <f t="shared" si="2"/>
        <v>114</v>
      </c>
      <c r="B142" s="151">
        <v>5</v>
      </c>
      <c r="C142" s="152" t="s">
        <v>241</v>
      </c>
      <c r="D142" s="157">
        <v>1</v>
      </c>
      <c r="F142" s="67" t="s">
        <v>133</v>
      </c>
      <c r="M142" s="186"/>
      <c r="O142" s="217"/>
    </row>
    <row r="143" spans="1:15" ht="12.75">
      <c r="A143" s="38">
        <f t="shared" si="2"/>
        <v>115</v>
      </c>
      <c r="B143" s="151">
        <v>5</v>
      </c>
      <c r="C143" s="152" t="s">
        <v>242</v>
      </c>
      <c r="D143" s="157">
        <v>0.9</v>
      </c>
      <c r="F143" s="67" t="s">
        <v>133</v>
      </c>
      <c r="M143" s="186"/>
      <c r="O143" s="217"/>
    </row>
    <row r="144" spans="1:15" ht="12.75">
      <c r="A144" s="38">
        <f t="shared" si="2"/>
        <v>116</v>
      </c>
      <c r="B144" s="151">
        <v>5</v>
      </c>
      <c r="C144" s="152" t="s">
        <v>243</v>
      </c>
      <c r="D144" s="157">
        <v>0.9</v>
      </c>
      <c r="F144" s="67" t="s">
        <v>133</v>
      </c>
      <c r="M144" s="186"/>
      <c r="O144" s="217"/>
    </row>
    <row r="145" spans="1:15" ht="12.75">
      <c r="A145" s="38">
        <f t="shared" si="2"/>
        <v>117</v>
      </c>
      <c r="B145" s="151">
        <v>5</v>
      </c>
      <c r="C145" s="152" t="s">
        <v>244</v>
      </c>
      <c r="D145" s="157">
        <v>1</v>
      </c>
      <c r="F145" s="67" t="s">
        <v>133</v>
      </c>
      <c r="M145" s="186"/>
      <c r="O145" s="217"/>
    </row>
    <row r="146" spans="1:15" ht="12.75">
      <c r="A146" s="38">
        <f t="shared" si="2"/>
        <v>118</v>
      </c>
      <c r="B146" s="151">
        <v>5</v>
      </c>
      <c r="C146" s="152" t="s">
        <v>245</v>
      </c>
      <c r="D146" s="157">
        <v>1</v>
      </c>
      <c r="F146" s="67" t="s">
        <v>133</v>
      </c>
      <c r="M146" s="186"/>
      <c r="O146" s="217"/>
    </row>
    <row r="147" spans="1:15" ht="12.75">
      <c r="A147" s="38">
        <f t="shared" si="2"/>
        <v>119</v>
      </c>
      <c r="B147" s="151">
        <v>5</v>
      </c>
      <c r="C147" s="152" t="s">
        <v>246</v>
      </c>
      <c r="D147" s="157">
        <v>1</v>
      </c>
      <c r="F147" s="67" t="s">
        <v>133</v>
      </c>
      <c r="M147" s="186"/>
      <c r="O147" s="217"/>
    </row>
    <row r="148" spans="1:15" ht="12.75">
      <c r="A148" s="38">
        <f t="shared" si="2"/>
        <v>120</v>
      </c>
      <c r="B148" s="151">
        <v>7</v>
      </c>
      <c r="C148" s="152" t="s">
        <v>247</v>
      </c>
      <c r="D148" s="157">
        <v>1.6</v>
      </c>
      <c r="F148" s="67" t="s">
        <v>133</v>
      </c>
      <c r="M148" s="186"/>
      <c r="O148" s="217"/>
    </row>
    <row r="149" spans="1:15" ht="12.75">
      <c r="A149" s="38">
        <f t="shared" si="2"/>
        <v>121</v>
      </c>
      <c r="B149" s="151">
        <v>7</v>
      </c>
      <c r="C149" s="152" t="s">
        <v>248</v>
      </c>
      <c r="D149" s="157">
        <v>1.6</v>
      </c>
      <c r="F149" s="67" t="s">
        <v>133</v>
      </c>
      <c r="M149" s="186"/>
      <c r="O149" s="217"/>
    </row>
    <row r="150" spans="1:15" ht="12.75">
      <c r="A150" s="38">
        <f t="shared" si="2"/>
        <v>122</v>
      </c>
      <c r="B150" s="151">
        <v>9</v>
      </c>
      <c r="C150" s="152" t="s">
        <v>249</v>
      </c>
      <c r="D150" s="157">
        <v>1.2</v>
      </c>
      <c r="F150" s="67" t="s">
        <v>133</v>
      </c>
      <c r="M150" s="186"/>
      <c r="O150" s="217"/>
    </row>
    <row r="151" spans="1:15" ht="12.75">
      <c r="A151" s="38">
        <f t="shared" si="2"/>
        <v>123</v>
      </c>
      <c r="B151" s="151">
        <v>9</v>
      </c>
      <c r="C151" s="153" t="s">
        <v>322</v>
      </c>
      <c r="D151" s="157">
        <v>1.8</v>
      </c>
      <c r="F151" s="67" t="s">
        <v>133</v>
      </c>
      <c r="M151" s="186"/>
      <c r="O151" s="217"/>
    </row>
    <row r="152" spans="1:15" ht="12.75">
      <c r="A152" s="38">
        <f t="shared" si="2"/>
        <v>124</v>
      </c>
      <c r="B152" s="151">
        <v>9</v>
      </c>
      <c r="C152" s="152" t="s">
        <v>250</v>
      </c>
      <c r="D152" s="157">
        <v>1.1</v>
      </c>
      <c r="F152" s="67" t="s">
        <v>133</v>
      </c>
      <c r="M152" s="186"/>
      <c r="O152" s="217"/>
    </row>
    <row r="153" spans="1:15" ht="12.75">
      <c r="A153" s="38">
        <f t="shared" si="2"/>
        <v>125</v>
      </c>
      <c r="B153" s="151">
        <v>9</v>
      </c>
      <c r="C153" s="152" t="s">
        <v>251</v>
      </c>
      <c r="D153" s="157">
        <v>1</v>
      </c>
      <c r="F153" s="67" t="s">
        <v>133</v>
      </c>
      <c r="M153" s="186"/>
      <c r="O153" s="217"/>
    </row>
    <row r="154" spans="1:15" ht="12.75">
      <c r="A154" s="38">
        <f t="shared" si="2"/>
        <v>126</v>
      </c>
      <c r="B154" s="151">
        <v>9</v>
      </c>
      <c r="C154" s="152" t="s">
        <v>252</v>
      </c>
      <c r="D154" s="157">
        <v>1.2</v>
      </c>
      <c r="F154" s="67" t="s">
        <v>133</v>
      </c>
      <c r="M154" s="186"/>
      <c r="O154" s="217"/>
    </row>
    <row r="155" spans="1:15" ht="12.75">
      <c r="A155" s="38">
        <f t="shared" si="2"/>
        <v>127</v>
      </c>
      <c r="B155" s="151">
        <v>9</v>
      </c>
      <c r="C155" s="152" t="s">
        <v>253</v>
      </c>
      <c r="D155" s="157">
        <v>1</v>
      </c>
      <c r="F155" s="67" t="s">
        <v>133</v>
      </c>
      <c r="M155" s="186"/>
      <c r="O155" s="217"/>
    </row>
    <row r="156" spans="1:15" ht="12.75">
      <c r="A156" s="38">
        <f t="shared" si="2"/>
        <v>128</v>
      </c>
      <c r="B156" s="151">
        <v>9</v>
      </c>
      <c r="C156" s="152" t="s">
        <v>254</v>
      </c>
      <c r="D156" s="157">
        <v>1.1</v>
      </c>
      <c r="F156" s="67" t="s">
        <v>133</v>
      </c>
      <c r="M156" s="186"/>
      <c r="O156" s="217"/>
    </row>
    <row r="157" spans="1:15" ht="12.75">
      <c r="A157" s="38">
        <f t="shared" si="2"/>
        <v>129</v>
      </c>
      <c r="B157" s="151">
        <v>9</v>
      </c>
      <c r="C157" s="152" t="s">
        <v>255</v>
      </c>
      <c r="D157" s="157">
        <v>1.4</v>
      </c>
      <c r="F157" s="67" t="s">
        <v>133</v>
      </c>
      <c r="M157" s="186"/>
      <c r="O157" s="217"/>
    </row>
    <row r="158" spans="1:15" ht="12.75">
      <c r="A158" s="38">
        <f t="shared" si="2"/>
        <v>130</v>
      </c>
      <c r="B158" s="151">
        <v>2</v>
      </c>
      <c r="C158" s="152" t="s">
        <v>256</v>
      </c>
      <c r="D158" s="157">
        <v>0.9</v>
      </c>
      <c r="F158" s="67" t="s">
        <v>133</v>
      </c>
      <c r="M158" s="186"/>
      <c r="O158" s="217"/>
    </row>
    <row r="159" spans="1:15" ht="12.75">
      <c r="A159" s="38">
        <f aca="true" t="shared" si="3" ref="A159:A216">1+A158</f>
        <v>131</v>
      </c>
      <c r="B159" s="151">
        <v>2</v>
      </c>
      <c r="C159" s="152" t="s">
        <v>258</v>
      </c>
      <c r="D159" s="157">
        <v>0.9</v>
      </c>
      <c r="F159" s="67" t="s">
        <v>133</v>
      </c>
      <c r="M159" s="186"/>
      <c r="O159" s="217"/>
    </row>
    <row r="160" spans="1:15" ht="12.75">
      <c r="A160" s="38">
        <f t="shared" si="3"/>
        <v>132</v>
      </c>
      <c r="B160" s="151">
        <v>2</v>
      </c>
      <c r="C160" s="152" t="s">
        <v>259</v>
      </c>
      <c r="D160" s="157">
        <v>0.8</v>
      </c>
      <c r="F160" s="67" t="s">
        <v>133</v>
      </c>
      <c r="M160" s="186"/>
      <c r="O160" s="217"/>
    </row>
    <row r="161" spans="1:15" ht="12.75">
      <c r="A161" s="38">
        <f t="shared" si="3"/>
        <v>133</v>
      </c>
      <c r="B161" s="151">
        <v>2</v>
      </c>
      <c r="C161" s="152" t="s">
        <v>260</v>
      </c>
      <c r="D161" s="157">
        <v>1</v>
      </c>
      <c r="F161" s="67" t="s">
        <v>133</v>
      </c>
      <c r="M161" s="186"/>
      <c r="O161" s="217"/>
    </row>
    <row r="162" spans="1:15" ht="12.75">
      <c r="A162" s="38">
        <f t="shared" si="3"/>
        <v>134</v>
      </c>
      <c r="B162" s="151">
        <v>2</v>
      </c>
      <c r="C162" s="152" t="s">
        <v>261</v>
      </c>
      <c r="D162" s="157">
        <v>1</v>
      </c>
      <c r="F162" s="67" t="s">
        <v>133</v>
      </c>
      <c r="M162" s="186"/>
      <c r="O162" s="217"/>
    </row>
    <row r="163" spans="1:15" ht="12.75">
      <c r="A163" s="38">
        <f t="shared" si="3"/>
        <v>135</v>
      </c>
      <c r="B163" s="151">
        <v>2</v>
      </c>
      <c r="C163" s="152" t="s">
        <v>257</v>
      </c>
      <c r="D163" s="157">
        <v>1.1</v>
      </c>
      <c r="F163" s="67" t="s">
        <v>133</v>
      </c>
      <c r="M163" s="186"/>
      <c r="O163" s="217"/>
    </row>
    <row r="164" spans="1:15" ht="12.75">
      <c r="A164" s="38">
        <f t="shared" si="3"/>
        <v>136</v>
      </c>
      <c r="B164" s="151">
        <v>1</v>
      </c>
      <c r="C164" s="152" t="s">
        <v>262</v>
      </c>
      <c r="D164" s="157">
        <v>0.9</v>
      </c>
      <c r="F164" s="67" t="s">
        <v>133</v>
      </c>
      <c r="M164" s="186"/>
      <c r="O164" s="217"/>
    </row>
    <row r="165" spans="1:15" ht="12.75">
      <c r="A165" s="38">
        <f t="shared" si="3"/>
        <v>137</v>
      </c>
      <c r="B165" s="151">
        <v>3</v>
      </c>
      <c r="C165" s="152" t="s">
        <v>263</v>
      </c>
      <c r="D165" s="157">
        <v>0.7</v>
      </c>
      <c r="F165" s="67" t="s">
        <v>133</v>
      </c>
      <c r="M165" s="186"/>
      <c r="O165" s="217"/>
    </row>
    <row r="166" spans="1:15" ht="12.75">
      <c r="A166" s="38">
        <f t="shared" si="3"/>
        <v>138</v>
      </c>
      <c r="B166" s="151">
        <v>6</v>
      </c>
      <c r="C166" s="152" t="s">
        <v>264</v>
      </c>
      <c r="D166" s="157">
        <v>1.2</v>
      </c>
      <c r="F166" s="67" t="s">
        <v>133</v>
      </c>
      <c r="M166" s="186"/>
      <c r="O166" s="217"/>
    </row>
    <row r="167" spans="1:15" ht="12.75">
      <c r="A167" s="38">
        <f t="shared" si="3"/>
        <v>139</v>
      </c>
      <c r="B167" s="151">
        <v>6</v>
      </c>
      <c r="C167" s="152" t="s">
        <v>265</v>
      </c>
      <c r="D167" s="157">
        <v>1.1</v>
      </c>
      <c r="F167" s="67" t="s">
        <v>133</v>
      </c>
      <c r="M167" s="186"/>
      <c r="O167" s="217"/>
    </row>
    <row r="168" spans="1:15" ht="12.75">
      <c r="A168" s="38">
        <f t="shared" si="3"/>
        <v>140</v>
      </c>
      <c r="B168" s="151">
        <v>6</v>
      </c>
      <c r="C168" s="152" t="s">
        <v>266</v>
      </c>
      <c r="D168" s="157">
        <v>1.2</v>
      </c>
      <c r="F168" s="67" t="s">
        <v>133</v>
      </c>
      <c r="M168" s="186"/>
      <c r="O168" s="217"/>
    </row>
    <row r="169" spans="1:15" ht="12.75">
      <c r="A169" s="38">
        <f t="shared" si="3"/>
        <v>141</v>
      </c>
      <c r="B169" s="151">
        <v>4</v>
      </c>
      <c r="C169" s="153" t="s">
        <v>323</v>
      </c>
      <c r="D169" s="157">
        <v>1.3</v>
      </c>
      <c r="F169" s="67" t="s">
        <v>133</v>
      </c>
      <c r="M169" s="186"/>
      <c r="O169" s="217"/>
    </row>
    <row r="170" spans="1:15" ht="12.75">
      <c r="A170" s="38">
        <f t="shared" si="3"/>
        <v>142</v>
      </c>
      <c r="B170" s="151">
        <v>4</v>
      </c>
      <c r="C170" s="152" t="s">
        <v>267</v>
      </c>
      <c r="D170" s="157">
        <v>1</v>
      </c>
      <c r="F170" s="67" t="s">
        <v>133</v>
      </c>
      <c r="M170" s="186"/>
      <c r="O170" s="217"/>
    </row>
    <row r="171" spans="1:15" ht="12.75">
      <c r="A171" s="38">
        <f t="shared" si="3"/>
        <v>143</v>
      </c>
      <c r="B171" s="151">
        <v>4</v>
      </c>
      <c r="C171" s="152" t="s">
        <v>268</v>
      </c>
      <c r="D171" s="157">
        <v>1.1</v>
      </c>
      <c r="F171" s="67" t="s">
        <v>133</v>
      </c>
      <c r="M171" s="186"/>
      <c r="O171" s="217"/>
    </row>
    <row r="172" spans="1:15" ht="12.75">
      <c r="A172" s="38">
        <f t="shared" si="3"/>
        <v>144</v>
      </c>
      <c r="B172" s="151">
        <v>4</v>
      </c>
      <c r="C172" s="152" t="s">
        <v>269</v>
      </c>
      <c r="D172" s="157">
        <v>0.9</v>
      </c>
      <c r="F172" s="67" t="s">
        <v>133</v>
      </c>
      <c r="M172" s="186"/>
      <c r="O172" s="217"/>
    </row>
    <row r="173" spans="1:15" ht="12.75">
      <c r="A173" s="38">
        <f t="shared" si="3"/>
        <v>145</v>
      </c>
      <c r="B173" s="151">
        <v>4</v>
      </c>
      <c r="C173" s="152" t="s">
        <v>270</v>
      </c>
      <c r="D173" s="157">
        <v>1.1</v>
      </c>
      <c r="F173" s="67" t="s">
        <v>133</v>
      </c>
      <c r="M173" s="186"/>
      <c r="O173" s="217"/>
    </row>
    <row r="174" spans="1:15" ht="12.75">
      <c r="A174" s="38">
        <f t="shared" si="3"/>
        <v>146</v>
      </c>
      <c r="B174" s="151">
        <v>7</v>
      </c>
      <c r="C174" s="152" t="s">
        <v>271</v>
      </c>
      <c r="D174" s="157">
        <v>1.2</v>
      </c>
      <c r="F174" s="67" t="s">
        <v>133</v>
      </c>
      <c r="M174" s="186"/>
      <c r="O174" s="217"/>
    </row>
    <row r="175" spans="1:15" ht="12.75">
      <c r="A175" s="38">
        <f t="shared" si="3"/>
        <v>147</v>
      </c>
      <c r="B175" s="151">
        <v>7</v>
      </c>
      <c r="C175" s="152" t="s">
        <v>272</v>
      </c>
      <c r="D175" s="157">
        <v>1.9</v>
      </c>
      <c r="F175" s="67" t="s">
        <v>133</v>
      </c>
      <c r="M175" s="186"/>
      <c r="O175" s="217"/>
    </row>
    <row r="176" spans="1:15" ht="12.75">
      <c r="A176" s="38">
        <f t="shared" si="3"/>
        <v>148</v>
      </c>
      <c r="B176" s="151">
        <v>7</v>
      </c>
      <c r="C176" s="152" t="s">
        <v>274</v>
      </c>
      <c r="D176" s="157">
        <v>0.8</v>
      </c>
      <c r="F176" s="67" t="s">
        <v>133</v>
      </c>
      <c r="M176" s="186"/>
      <c r="O176" s="217"/>
    </row>
    <row r="177" spans="1:15" ht="12.75">
      <c r="A177" s="38">
        <f t="shared" si="3"/>
        <v>149</v>
      </c>
      <c r="B177" s="151">
        <v>7</v>
      </c>
      <c r="C177" s="152" t="s">
        <v>273</v>
      </c>
      <c r="D177" s="157">
        <v>0.7</v>
      </c>
      <c r="F177" s="67" t="s">
        <v>133</v>
      </c>
      <c r="M177" s="186"/>
      <c r="O177" s="217"/>
    </row>
    <row r="178" spans="1:15" ht="12.75">
      <c r="A178" s="38">
        <f t="shared" si="3"/>
        <v>150</v>
      </c>
      <c r="B178" s="151">
        <v>7</v>
      </c>
      <c r="C178" s="152" t="s">
        <v>275</v>
      </c>
      <c r="D178" s="157">
        <v>0.3</v>
      </c>
      <c r="F178" s="67" t="s">
        <v>133</v>
      </c>
      <c r="M178" s="186"/>
      <c r="O178" s="217"/>
    </row>
    <row r="179" spans="1:15" ht="12.75">
      <c r="A179" s="38">
        <f t="shared" si="3"/>
        <v>151</v>
      </c>
      <c r="B179" s="151">
        <v>7</v>
      </c>
      <c r="C179" s="152" t="s">
        <v>276</v>
      </c>
      <c r="D179" s="157">
        <v>0.4</v>
      </c>
      <c r="F179" s="67" t="s">
        <v>133</v>
      </c>
      <c r="M179" s="186"/>
      <c r="O179" s="217"/>
    </row>
    <row r="180" spans="1:15" ht="12.75">
      <c r="A180" s="38">
        <f t="shared" si="3"/>
        <v>152</v>
      </c>
      <c r="B180" s="151">
        <v>7</v>
      </c>
      <c r="C180" s="152" t="s">
        <v>277</v>
      </c>
      <c r="D180" s="157">
        <v>1.1</v>
      </c>
      <c r="F180" s="67" t="s">
        <v>133</v>
      </c>
      <c r="M180" s="186"/>
      <c r="O180" s="217"/>
    </row>
    <row r="181" spans="1:15" ht="12.75">
      <c r="A181" s="38">
        <f t="shared" si="3"/>
        <v>153</v>
      </c>
      <c r="B181" s="151">
        <v>7</v>
      </c>
      <c r="C181" s="152" t="s">
        <v>278</v>
      </c>
      <c r="D181" s="157">
        <v>1</v>
      </c>
      <c r="F181" s="67" t="s">
        <v>133</v>
      </c>
      <c r="M181" s="186"/>
      <c r="O181" s="217"/>
    </row>
    <row r="182" spans="1:15" ht="12.75">
      <c r="A182" s="38">
        <f t="shared" si="3"/>
        <v>154</v>
      </c>
      <c r="B182" s="151">
        <v>7</v>
      </c>
      <c r="C182" s="152" t="s">
        <v>279</v>
      </c>
      <c r="D182" s="157">
        <v>0.6</v>
      </c>
      <c r="F182" s="67" t="s">
        <v>133</v>
      </c>
      <c r="M182" s="186"/>
      <c r="O182" s="217"/>
    </row>
    <row r="183" spans="1:15" ht="12.75">
      <c r="A183" s="38">
        <f t="shared" si="3"/>
        <v>155</v>
      </c>
      <c r="B183" s="151">
        <v>7</v>
      </c>
      <c r="C183" s="152" t="s">
        <v>280</v>
      </c>
      <c r="D183" s="157">
        <v>1.2</v>
      </c>
      <c r="F183" s="67" t="s">
        <v>133</v>
      </c>
      <c r="M183" s="186"/>
      <c r="O183" s="217"/>
    </row>
    <row r="184" spans="1:15" ht="12.75">
      <c r="A184" s="38">
        <f t="shared" si="3"/>
        <v>156</v>
      </c>
      <c r="B184" s="151">
        <v>7</v>
      </c>
      <c r="C184" s="152" t="s">
        <v>281</v>
      </c>
      <c r="D184" s="157">
        <v>0.5</v>
      </c>
      <c r="F184" s="67" t="s">
        <v>133</v>
      </c>
      <c r="M184" s="186"/>
      <c r="O184" s="217"/>
    </row>
    <row r="185" spans="1:15" ht="12.75">
      <c r="A185" s="38">
        <f t="shared" si="3"/>
        <v>157</v>
      </c>
      <c r="B185" s="151">
        <v>7</v>
      </c>
      <c r="C185" s="152" t="s">
        <v>282</v>
      </c>
      <c r="D185" s="157">
        <v>0.7</v>
      </c>
      <c r="F185" s="67" t="s">
        <v>133</v>
      </c>
      <c r="M185" s="186"/>
      <c r="O185" s="217"/>
    </row>
    <row r="186" spans="1:15" ht="12.75">
      <c r="A186" s="38">
        <f t="shared" si="3"/>
        <v>158</v>
      </c>
      <c r="B186" s="151">
        <v>7</v>
      </c>
      <c r="C186" s="152" t="s">
        <v>283</v>
      </c>
      <c r="D186" s="157">
        <v>1.5</v>
      </c>
      <c r="F186" s="67" t="s">
        <v>133</v>
      </c>
      <c r="M186" s="186"/>
      <c r="O186" s="217"/>
    </row>
    <row r="187" spans="1:15" ht="12.75">
      <c r="A187" s="38">
        <f t="shared" si="3"/>
        <v>159</v>
      </c>
      <c r="B187" s="151">
        <v>7</v>
      </c>
      <c r="C187" s="152" t="s">
        <v>284</v>
      </c>
      <c r="D187" s="157">
        <v>1.2</v>
      </c>
      <c r="F187" s="67" t="s">
        <v>133</v>
      </c>
      <c r="M187" s="186"/>
      <c r="O187" s="217"/>
    </row>
    <row r="188" spans="1:15" ht="12.75">
      <c r="A188" s="38">
        <f t="shared" si="3"/>
        <v>160</v>
      </c>
      <c r="B188" s="151">
        <v>7</v>
      </c>
      <c r="C188" s="152" t="s">
        <v>285</v>
      </c>
      <c r="D188" s="157">
        <v>0.6</v>
      </c>
      <c r="F188" s="67" t="s">
        <v>133</v>
      </c>
      <c r="M188" s="186"/>
      <c r="O188" s="217"/>
    </row>
    <row r="189" spans="1:15" ht="12.75">
      <c r="A189" s="38">
        <f t="shared" si="3"/>
        <v>161</v>
      </c>
      <c r="B189" s="151">
        <v>7</v>
      </c>
      <c r="C189" s="152" t="s">
        <v>286</v>
      </c>
      <c r="D189" s="157">
        <v>1.1</v>
      </c>
      <c r="F189" s="67" t="s">
        <v>133</v>
      </c>
      <c r="M189" s="186"/>
      <c r="O189" s="217"/>
    </row>
    <row r="190" spans="1:15" ht="12.75">
      <c r="A190" s="38">
        <f t="shared" si="3"/>
        <v>162</v>
      </c>
      <c r="B190" s="151">
        <v>7</v>
      </c>
      <c r="C190" s="152" t="s">
        <v>287</v>
      </c>
      <c r="D190" s="157">
        <v>0.7</v>
      </c>
      <c r="F190" s="67" t="s">
        <v>133</v>
      </c>
      <c r="M190" s="186"/>
      <c r="O190" s="217"/>
    </row>
    <row r="191" spans="1:15" ht="12.75">
      <c r="A191" s="38">
        <f t="shared" si="3"/>
        <v>163</v>
      </c>
      <c r="B191" s="151">
        <v>7</v>
      </c>
      <c r="C191" s="152" t="s">
        <v>288</v>
      </c>
      <c r="D191" s="157">
        <v>0.6</v>
      </c>
      <c r="F191" s="67" t="s">
        <v>133</v>
      </c>
      <c r="M191" s="186"/>
      <c r="O191" s="217"/>
    </row>
    <row r="192" spans="1:15" ht="12.75">
      <c r="A192" s="38">
        <f t="shared" si="3"/>
        <v>164</v>
      </c>
      <c r="B192" s="151">
        <v>7</v>
      </c>
      <c r="C192" s="152" t="s">
        <v>289</v>
      </c>
      <c r="D192" s="157">
        <v>1</v>
      </c>
      <c r="F192" s="67" t="s">
        <v>133</v>
      </c>
      <c r="M192" s="186"/>
      <c r="O192" s="217"/>
    </row>
    <row r="193" spans="1:15" ht="12.75">
      <c r="A193" s="38">
        <f t="shared" si="3"/>
        <v>165</v>
      </c>
      <c r="B193" s="151">
        <v>7</v>
      </c>
      <c r="C193" s="152" t="s">
        <v>290</v>
      </c>
      <c r="D193" s="157">
        <v>1.4</v>
      </c>
      <c r="F193" s="67" t="s">
        <v>133</v>
      </c>
      <c r="M193" s="186"/>
      <c r="O193" s="217"/>
    </row>
    <row r="194" spans="1:15" ht="12.75">
      <c r="A194" s="38">
        <f t="shared" si="3"/>
        <v>166</v>
      </c>
      <c r="B194" s="151">
        <v>8</v>
      </c>
      <c r="C194" s="152" t="s">
        <v>291</v>
      </c>
      <c r="D194" s="157">
        <v>1.1</v>
      </c>
      <c r="F194" s="67" t="s">
        <v>133</v>
      </c>
      <c r="M194" s="186"/>
      <c r="O194" s="217"/>
    </row>
    <row r="195" spans="1:15" ht="12.75">
      <c r="A195" s="38">
        <f t="shared" si="3"/>
        <v>167</v>
      </c>
      <c r="B195" s="151">
        <v>8</v>
      </c>
      <c r="C195" s="152" t="s">
        <v>292</v>
      </c>
      <c r="D195" s="157">
        <v>1</v>
      </c>
      <c r="F195" s="67" t="s">
        <v>133</v>
      </c>
      <c r="M195" s="186"/>
      <c r="O195" s="217"/>
    </row>
    <row r="196" spans="1:15" ht="12.75">
      <c r="A196" s="38">
        <f t="shared" si="3"/>
        <v>168</v>
      </c>
      <c r="B196" s="151">
        <v>3</v>
      </c>
      <c r="C196" s="152" t="s">
        <v>294</v>
      </c>
      <c r="D196" s="157">
        <v>1.2</v>
      </c>
      <c r="F196" s="67" t="s">
        <v>133</v>
      </c>
      <c r="M196" s="186"/>
      <c r="O196" s="217"/>
    </row>
    <row r="197" spans="1:15" ht="12.75">
      <c r="A197" s="38">
        <f t="shared" si="3"/>
        <v>169</v>
      </c>
      <c r="B197" s="151">
        <v>3</v>
      </c>
      <c r="C197" s="152" t="s">
        <v>295</v>
      </c>
      <c r="D197" s="157">
        <v>0.9</v>
      </c>
      <c r="F197" s="67" t="s">
        <v>133</v>
      </c>
      <c r="M197" s="186"/>
      <c r="O197" s="217"/>
    </row>
    <row r="198" spans="1:15" ht="12.75">
      <c r="A198" s="38">
        <f t="shared" si="3"/>
        <v>170</v>
      </c>
      <c r="B198" s="151">
        <v>3</v>
      </c>
      <c r="C198" s="152" t="s">
        <v>296</v>
      </c>
      <c r="D198" s="157">
        <v>1.1</v>
      </c>
      <c r="F198" s="67" t="s">
        <v>133</v>
      </c>
      <c r="M198" s="186"/>
      <c r="O198" s="217"/>
    </row>
    <row r="199" spans="1:15" ht="12.75">
      <c r="A199" s="38">
        <f t="shared" si="3"/>
        <v>171</v>
      </c>
      <c r="B199" s="151">
        <v>3</v>
      </c>
      <c r="C199" s="152" t="s">
        <v>297</v>
      </c>
      <c r="D199" s="157">
        <v>1.2</v>
      </c>
      <c r="F199" s="67" t="s">
        <v>133</v>
      </c>
      <c r="M199" s="186"/>
      <c r="O199" s="217"/>
    </row>
    <row r="200" spans="1:15" ht="12.75">
      <c r="A200" s="38">
        <f t="shared" si="3"/>
        <v>172</v>
      </c>
      <c r="B200" s="151">
        <v>1</v>
      </c>
      <c r="C200" s="152" t="s">
        <v>293</v>
      </c>
      <c r="D200" s="157">
        <v>1.2</v>
      </c>
      <c r="F200" s="67" t="s">
        <v>133</v>
      </c>
      <c r="M200" s="186"/>
      <c r="O200" s="217"/>
    </row>
    <row r="201" spans="1:15" ht="12.75">
      <c r="A201" s="38">
        <f t="shared" si="3"/>
        <v>173</v>
      </c>
      <c r="B201" s="151">
        <v>9</v>
      </c>
      <c r="C201" s="152" t="s">
        <v>298</v>
      </c>
      <c r="D201" s="157">
        <v>1.3</v>
      </c>
      <c r="F201" s="67" t="s">
        <v>133</v>
      </c>
      <c r="M201" s="186"/>
      <c r="O201" s="217"/>
    </row>
    <row r="202" spans="1:15" ht="12.75">
      <c r="A202" s="38">
        <f t="shared" si="3"/>
        <v>174</v>
      </c>
      <c r="B202" s="151">
        <v>9</v>
      </c>
      <c r="C202" s="152" t="s">
        <v>299</v>
      </c>
      <c r="D202" s="157">
        <v>1.3</v>
      </c>
      <c r="F202" s="67" t="s">
        <v>133</v>
      </c>
      <c r="M202" s="186"/>
      <c r="O202" s="217"/>
    </row>
    <row r="203" spans="1:15" ht="12.75">
      <c r="A203" s="38">
        <f t="shared" si="3"/>
        <v>175</v>
      </c>
      <c r="B203" s="151">
        <v>9</v>
      </c>
      <c r="C203" s="153" t="s">
        <v>324</v>
      </c>
      <c r="D203" s="157">
        <v>1.1</v>
      </c>
      <c r="F203" s="67" t="s">
        <v>133</v>
      </c>
      <c r="M203" s="186"/>
      <c r="O203" s="217"/>
    </row>
    <row r="204" spans="1:15" ht="12.75">
      <c r="A204" s="38">
        <f t="shared" si="3"/>
        <v>176</v>
      </c>
      <c r="B204" s="151">
        <v>9</v>
      </c>
      <c r="C204" s="152" t="s">
        <v>300</v>
      </c>
      <c r="D204" s="157">
        <v>1.6</v>
      </c>
      <c r="F204" s="67" t="s">
        <v>133</v>
      </c>
      <c r="M204" s="186"/>
      <c r="O204" s="217"/>
    </row>
    <row r="205" spans="1:15" ht="12.75">
      <c r="A205" s="38">
        <f t="shared" si="3"/>
        <v>177</v>
      </c>
      <c r="B205" s="151">
        <v>9</v>
      </c>
      <c r="C205" s="153" t="s">
        <v>325</v>
      </c>
      <c r="D205" s="157">
        <v>1.1</v>
      </c>
      <c r="F205" s="67" t="s">
        <v>133</v>
      </c>
      <c r="M205" s="186"/>
      <c r="O205" s="217"/>
    </row>
    <row r="206" spans="1:15" ht="12.75">
      <c r="A206" s="38">
        <f t="shared" si="3"/>
        <v>178</v>
      </c>
      <c r="B206" s="151">
        <v>9</v>
      </c>
      <c r="C206" s="152" t="s">
        <v>301</v>
      </c>
      <c r="D206" s="157">
        <v>1.4</v>
      </c>
      <c r="F206" s="67" t="s">
        <v>133</v>
      </c>
      <c r="M206" s="186"/>
      <c r="O206" s="217"/>
    </row>
    <row r="207" spans="1:15" ht="12.75">
      <c r="A207" s="38">
        <f t="shared" si="3"/>
        <v>179</v>
      </c>
      <c r="B207" s="151">
        <v>5</v>
      </c>
      <c r="C207" s="152" t="s">
        <v>306</v>
      </c>
      <c r="D207" s="157">
        <v>1.3</v>
      </c>
      <c r="F207" s="67" t="s">
        <v>133</v>
      </c>
      <c r="M207" s="186"/>
      <c r="O207" s="217"/>
    </row>
    <row r="208" spans="1:15" ht="12.75">
      <c r="A208" s="38">
        <f t="shared" si="3"/>
        <v>180</v>
      </c>
      <c r="B208" s="151">
        <v>5</v>
      </c>
      <c r="C208" s="152" t="s">
        <v>307</v>
      </c>
      <c r="D208" s="157">
        <v>1.2</v>
      </c>
      <c r="F208" s="67" t="s">
        <v>133</v>
      </c>
      <c r="M208" s="186"/>
      <c r="O208" s="217"/>
    </row>
    <row r="209" spans="1:15" ht="12.75">
      <c r="A209" s="38">
        <f t="shared" si="3"/>
        <v>181</v>
      </c>
      <c r="B209" s="151">
        <v>5</v>
      </c>
      <c r="C209" s="152" t="s">
        <v>308</v>
      </c>
      <c r="D209" s="157">
        <v>1.1</v>
      </c>
      <c r="F209" s="67" t="s">
        <v>133</v>
      </c>
      <c r="M209" s="186"/>
      <c r="O209" s="217"/>
    </row>
    <row r="210" spans="1:15" ht="12.75">
      <c r="A210" s="38">
        <f t="shared" si="3"/>
        <v>182</v>
      </c>
      <c r="B210" s="151">
        <v>3</v>
      </c>
      <c r="C210" s="152" t="s">
        <v>302</v>
      </c>
      <c r="D210" s="157">
        <v>1.5</v>
      </c>
      <c r="F210" s="67" t="s">
        <v>133</v>
      </c>
      <c r="M210" s="186"/>
      <c r="O210" s="217"/>
    </row>
    <row r="211" spans="1:15" ht="12.75">
      <c r="A211" s="38">
        <f t="shared" si="3"/>
        <v>183</v>
      </c>
      <c r="B211" s="151">
        <v>3</v>
      </c>
      <c r="C211" s="152" t="s">
        <v>303</v>
      </c>
      <c r="D211" s="157">
        <v>1.3</v>
      </c>
      <c r="F211" s="67" t="s">
        <v>133</v>
      </c>
      <c r="M211" s="186"/>
      <c r="O211" s="217"/>
    </row>
    <row r="212" spans="1:15" ht="12.75">
      <c r="A212" s="38">
        <f t="shared" si="3"/>
        <v>184</v>
      </c>
      <c r="B212" s="151">
        <v>3</v>
      </c>
      <c r="C212" s="152" t="s">
        <v>304</v>
      </c>
      <c r="D212" s="157">
        <v>1.7</v>
      </c>
      <c r="F212" s="67" t="s">
        <v>133</v>
      </c>
      <c r="M212" s="186"/>
      <c r="O212" s="217"/>
    </row>
    <row r="213" spans="1:15" ht="12.75">
      <c r="A213" s="38">
        <f t="shared" si="3"/>
        <v>185</v>
      </c>
      <c r="B213" s="151">
        <v>3</v>
      </c>
      <c r="C213" s="152" t="s">
        <v>305</v>
      </c>
      <c r="D213" s="157">
        <v>1.3</v>
      </c>
      <c r="F213" s="67" t="s">
        <v>133</v>
      </c>
      <c r="M213" s="186"/>
      <c r="O213" s="217"/>
    </row>
    <row r="214" spans="1:15" ht="12.75">
      <c r="A214" s="38">
        <f t="shared" si="3"/>
        <v>186</v>
      </c>
      <c r="B214" s="151">
        <v>8</v>
      </c>
      <c r="C214" s="152" t="s">
        <v>309</v>
      </c>
      <c r="D214" s="157">
        <v>1.3</v>
      </c>
      <c r="F214" s="67" t="s">
        <v>133</v>
      </c>
      <c r="M214" s="186"/>
      <c r="O214" s="217"/>
    </row>
    <row r="215" spans="1:15" ht="12.75">
      <c r="A215" s="38">
        <f t="shared" si="3"/>
        <v>187</v>
      </c>
      <c r="B215" s="151">
        <v>8</v>
      </c>
      <c r="C215" s="152" t="s">
        <v>310</v>
      </c>
      <c r="D215" s="157">
        <v>1.4</v>
      </c>
      <c r="F215" s="67" t="s">
        <v>133</v>
      </c>
      <c r="M215" s="186"/>
      <c r="O215" s="217"/>
    </row>
    <row r="216" spans="1:15" ht="12.75">
      <c r="A216" s="38">
        <f t="shared" si="3"/>
        <v>188</v>
      </c>
      <c r="B216" s="151">
        <v>8</v>
      </c>
      <c r="C216" s="152" t="s">
        <v>311</v>
      </c>
      <c r="D216" s="157">
        <v>1.4</v>
      </c>
      <c r="F216" s="67" t="s">
        <v>133</v>
      </c>
      <c r="M216" s="186"/>
      <c r="O216" s="217"/>
    </row>
    <row r="217" spans="3:15" ht="12.75">
      <c r="C217" s="119"/>
      <c r="D217" s="101"/>
      <c r="E217" s="102"/>
      <c r="F217" s="67"/>
      <c r="M217" s="186"/>
      <c r="O217" s="217"/>
    </row>
    <row r="218" spans="3:15" ht="15">
      <c r="C218" s="137" t="s">
        <v>112</v>
      </c>
      <c r="D218" s="158"/>
      <c r="E218" s="102"/>
      <c r="F218" s="67"/>
      <c r="M218" s="186"/>
      <c r="O218" s="217"/>
    </row>
    <row r="219" spans="3:15" ht="12.75">
      <c r="C219" s="159" t="s">
        <v>334</v>
      </c>
      <c r="D219" s="163">
        <v>0.166</v>
      </c>
      <c r="E219" s="102"/>
      <c r="F219" s="67" t="s">
        <v>336</v>
      </c>
      <c r="M219" s="186"/>
      <c r="O219" s="217"/>
    </row>
    <row r="220" spans="3:15" ht="12.75">
      <c r="C220" s="159" t="s">
        <v>335</v>
      </c>
      <c r="D220" s="163">
        <v>0.276</v>
      </c>
      <c r="E220" s="102"/>
      <c r="F220" s="67" t="s">
        <v>336</v>
      </c>
      <c r="M220" s="186"/>
      <c r="O220" s="217"/>
    </row>
    <row r="221" spans="3:15" ht="12.75">
      <c r="C221" s="159" t="s">
        <v>338</v>
      </c>
      <c r="D221" s="163">
        <f>(IF(D27&lt;=VLOOKUP(G30,M36:Q43,4),D220,IF(D27&gt;=VLOOKUP(G30,M36:Q43,5),D219,(VLOOKUP(G30,M36:Q43,2)*D27+VLOOKUP(G30,M36:Q43,3)))))</f>
        <v>0.21653999999999998</v>
      </c>
      <c r="E221" s="102"/>
      <c r="F221" s="67" t="s">
        <v>345</v>
      </c>
      <c r="M221" s="186"/>
      <c r="O221" s="217"/>
    </row>
    <row r="222" spans="3:15" ht="12.75">
      <c r="C222" s="159"/>
      <c r="D222" s="110"/>
      <c r="E222" s="102"/>
      <c r="F222" s="67"/>
      <c r="M222" s="186"/>
      <c r="O222" s="217"/>
    </row>
    <row r="223" spans="3:15" ht="15">
      <c r="C223" s="160" t="s">
        <v>24</v>
      </c>
      <c r="D223" s="101"/>
      <c r="E223" s="102"/>
      <c r="F223" s="67"/>
      <c r="M223" s="186"/>
      <c r="O223" s="217"/>
    </row>
    <row r="224" spans="3:6" ht="37.5" customHeight="1">
      <c r="C224" s="135" t="s">
        <v>25</v>
      </c>
      <c r="D224" s="117">
        <v>0.04</v>
      </c>
      <c r="E224" s="102"/>
      <c r="F224" s="118" t="s">
        <v>26</v>
      </c>
    </row>
    <row r="225" spans="3:6" ht="12.75">
      <c r="C225" s="135"/>
      <c r="D225" s="134"/>
      <c r="E225" s="102"/>
      <c r="F225" s="118"/>
    </row>
    <row r="226" spans="3:6" ht="15">
      <c r="C226" s="120" t="s">
        <v>62</v>
      </c>
      <c r="D226" s="116"/>
      <c r="E226" s="102"/>
      <c r="F226" s="67"/>
    </row>
    <row r="227" spans="3:6" ht="12.75">
      <c r="C227" s="65" t="s">
        <v>53</v>
      </c>
      <c r="D227" s="105">
        <v>139000</v>
      </c>
      <c r="E227" s="107" t="s">
        <v>43</v>
      </c>
      <c r="F227" s="67" t="s">
        <v>127</v>
      </c>
    </row>
    <row r="228" spans="3:6" ht="12.75">
      <c r="C228" s="65" t="s">
        <v>54</v>
      </c>
      <c r="D228" s="105">
        <v>100000</v>
      </c>
      <c r="E228" s="107" t="s">
        <v>46</v>
      </c>
      <c r="F228" s="67" t="s">
        <v>52</v>
      </c>
    </row>
    <row r="229" spans="3:6" ht="12.75">
      <c r="C229" s="119"/>
      <c r="D229" s="116"/>
      <c r="E229" s="102"/>
      <c r="F229" s="67"/>
    </row>
    <row r="230" spans="3:6" ht="15">
      <c r="C230" s="120" t="s">
        <v>117</v>
      </c>
      <c r="D230" s="116"/>
      <c r="E230" s="102"/>
      <c r="F230" s="67"/>
    </row>
    <row r="231" spans="3:6" ht="12.75">
      <c r="C231" s="104" t="s">
        <v>105</v>
      </c>
      <c r="D231" s="142">
        <v>2.41</v>
      </c>
      <c r="E231" s="102" t="s">
        <v>44</v>
      </c>
      <c r="F231" s="67" t="s">
        <v>346</v>
      </c>
    </row>
    <row r="232" spans="3:6" ht="12.75">
      <c r="C232" s="104" t="s">
        <v>106</v>
      </c>
      <c r="D232" s="142">
        <v>2.04</v>
      </c>
      <c r="E232" s="102" t="s">
        <v>44</v>
      </c>
      <c r="F232" s="67" t="s">
        <v>346</v>
      </c>
    </row>
    <row r="233" spans="3:6" ht="12.75">
      <c r="C233" s="126" t="s">
        <v>107</v>
      </c>
      <c r="D233" s="211">
        <v>1.3423</v>
      </c>
      <c r="E233" s="127" t="s">
        <v>59</v>
      </c>
      <c r="F233" s="67" t="s">
        <v>346</v>
      </c>
    </row>
    <row r="234" spans="3:6" ht="12.75">
      <c r="C234" s="126" t="s">
        <v>108</v>
      </c>
      <c r="D234" s="211">
        <v>1.1712</v>
      </c>
      <c r="E234" s="127" t="s">
        <v>59</v>
      </c>
      <c r="F234" s="67" t="s">
        <v>346</v>
      </c>
    </row>
    <row r="235" spans="3:6" ht="12.75">
      <c r="C235" s="104"/>
      <c r="E235" s="102"/>
      <c r="F235" s="67"/>
    </row>
    <row r="236" spans="3:6" ht="15">
      <c r="C236" s="120" t="s">
        <v>33</v>
      </c>
      <c r="D236" s="116"/>
      <c r="E236" s="102"/>
      <c r="F236" s="67"/>
    </row>
    <row r="237" spans="3:6" ht="15.75">
      <c r="C237" s="104" t="s">
        <v>128</v>
      </c>
      <c r="D237" s="116">
        <v>161.27</v>
      </c>
      <c r="E237" s="102" t="s">
        <v>55</v>
      </c>
      <c r="F237" s="67" t="s">
        <v>347</v>
      </c>
    </row>
    <row r="238" spans="3:6" ht="15.75">
      <c r="C238" s="104" t="s">
        <v>129</v>
      </c>
      <c r="D238" s="116">
        <v>116.97</v>
      </c>
      <c r="E238" s="102" t="s">
        <v>55</v>
      </c>
      <c r="F238" s="67" t="s">
        <v>347</v>
      </c>
    </row>
    <row r="239" spans="3:6" ht="12.75">
      <c r="C239" s="67"/>
      <c r="D239" s="116"/>
      <c r="E239" s="102"/>
      <c r="F239" s="67"/>
    </row>
    <row r="240" spans="3:6" ht="15">
      <c r="C240" s="120" t="s">
        <v>61</v>
      </c>
      <c r="D240" s="121"/>
      <c r="E240" s="102"/>
      <c r="F240" s="67"/>
    </row>
    <row r="241" spans="3:6" ht="15.75">
      <c r="C241" s="104" t="s">
        <v>56</v>
      </c>
      <c r="D241" s="121">
        <v>8066</v>
      </c>
      <c r="E241" s="102" t="s">
        <v>57</v>
      </c>
      <c r="F241" s="67" t="s">
        <v>34</v>
      </c>
    </row>
    <row r="242" spans="3:6" ht="15.75">
      <c r="C242" s="128" t="s">
        <v>58</v>
      </c>
      <c r="D242" s="129">
        <v>11470</v>
      </c>
      <c r="E242" s="122" t="s">
        <v>57</v>
      </c>
      <c r="F242" s="149" t="s">
        <v>34</v>
      </c>
    </row>
    <row r="243" spans="3:6" ht="12.75">
      <c r="C243" s="147"/>
      <c r="D243" s="121"/>
      <c r="E243" s="148"/>
      <c r="F243" s="112"/>
    </row>
    <row r="244" spans="1:3" ht="12.75">
      <c r="A244" s="38"/>
      <c r="B244" s="38"/>
      <c r="C244" s="91" t="s">
        <v>314</v>
      </c>
    </row>
    <row r="245" spans="1:2" ht="12.75">
      <c r="A245" s="38"/>
      <c r="B245" s="38"/>
    </row>
    <row r="246" spans="1:6" ht="12.75">
      <c r="A246" s="38"/>
      <c r="B246" s="38"/>
      <c r="C246" s="209" t="s">
        <v>60</v>
      </c>
      <c r="D246" s="210"/>
      <c r="E246" s="210"/>
      <c r="F246" s="210"/>
    </row>
    <row r="247" spans="1:2" ht="12.75">
      <c r="A247" s="38"/>
      <c r="B247" s="38"/>
    </row>
    <row r="248" spans="1:2" ht="12.75">
      <c r="A248" s="38"/>
      <c r="B248" s="38"/>
    </row>
    <row r="249" spans="1:2" ht="12.75">
      <c r="A249" s="38"/>
      <c r="B249" s="38"/>
    </row>
    <row r="250" spans="1:2" ht="12.75">
      <c r="A250" s="38"/>
      <c r="B250" s="38"/>
    </row>
    <row r="251" spans="1:2" ht="12.75">
      <c r="A251" s="38"/>
      <c r="B251" s="38"/>
    </row>
    <row r="252" spans="1:2" ht="12.75">
      <c r="A252" s="38"/>
      <c r="B252" s="38"/>
    </row>
  </sheetData>
  <sheetProtection/>
  <mergeCells count="3">
    <mergeCell ref="C1:F1"/>
    <mergeCell ref="D3:E3"/>
    <mergeCell ref="C246:F246"/>
  </mergeCells>
  <printOptions horizontalCentered="1"/>
  <pageMargins left="0.5" right="0.5" top="0.5" bottom="0.5" header="0" footer="0"/>
  <pageSetup fitToHeight="4"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2006-10-11T02:11:01Z</cp:lastPrinted>
  <dcterms:created xsi:type="dcterms:W3CDTF">2004-07-12T13:20:55Z</dcterms:created>
  <dcterms:modified xsi:type="dcterms:W3CDTF">2007-12-31T19:40:56Z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