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35" activeTab="0"/>
  </bookViews>
  <sheets>
    <sheet name="Room Air Cleaner Calculator" sheetId="1" r:id="rId1"/>
    <sheet name="Assumptions" sheetId="2" r:id="rId2"/>
  </sheets>
  <definedNames>
    <definedName name="_xlnm.Print_Area" localSheetId="1">'Assumptions'!$A$1:$D$51</definedName>
    <definedName name="_xlnm.Print_Area" localSheetId="0">'Room Air Cleaner Calculator'!$A$1:$M$60</definedName>
  </definedNames>
  <calcPr fullCalcOnLoad="1"/>
</workbook>
</file>

<file path=xl/sharedStrings.xml><?xml version="1.0" encoding="utf-8"?>
<sst xmlns="http://schemas.openxmlformats.org/spreadsheetml/2006/main" count="129" uniqueCount="90">
  <si>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</si>
  <si>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</si>
  <si>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</si>
  <si>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</si>
  <si>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</si>
  <si>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</si>
  <si>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</si>
  <si>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</si>
  <si>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</si>
  <si>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</si>
  <si>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</si>
  <si>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</si>
  <si>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</si>
  <si>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</si>
  <si>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</si>
  <si>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</si>
  <si>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</si>
  <si>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</si>
  <si>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</si>
  <si>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</si>
  <si>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</si>
  <si>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</si>
  <si>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</si>
  <si>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</si>
  <si>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</si>
  <si>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</si>
  <si>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</si>
  <si>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</si>
  <si>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</si>
  <si>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</si>
  <si>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</si>
  <si>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</si>
  <si>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</si>
  <si>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</si>
  <si>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</si>
  <si>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</si>
  <si>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</si>
  <si>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</si>
  <si>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</si>
  <si>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</si>
  <si>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</si>
  <si>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</si>
  <si>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</si>
  <si>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r>
      <t>lbs CO</t>
    </r>
    <r>
      <rPr>
        <vertAlign val="subscript"/>
        <sz val="10"/>
        <rFont val="Univers"/>
        <family val="2"/>
      </rPr>
      <t>2</t>
    </r>
    <r>
      <rPr>
        <sz val="10"/>
        <rFont val="Univers"/>
        <family val="2"/>
      </rPr>
      <t>/kWh</t>
    </r>
  </si>
  <si>
    <t>Energy consumption (kWh)</t>
  </si>
  <si>
    <t>Maintenance costs</t>
  </si>
  <si>
    <t>Energy costs</t>
  </si>
  <si>
    <t>Initial Cost per Unit (estimated retail price)</t>
  </si>
  <si>
    <r>
      <t>lbs CO</t>
    </r>
    <r>
      <rPr>
        <vertAlign val="subscript"/>
        <sz val="10"/>
        <rFont val="Univers"/>
        <family val="2"/>
      </rPr>
      <t>2</t>
    </r>
    <r>
      <rPr>
        <sz val="10"/>
        <rFont val="Univers"/>
        <family val="2"/>
      </rPr>
      <t>/year</t>
    </r>
  </si>
  <si>
    <t>Electric Rate ($/kWh)</t>
  </si>
  <si>
    <t>Initial Cost Per Unit</t>
  </si>
  <si>
    <t>Life cycle energy saved (kWh)</t>
  </si>
  <si>
    <t>Operating costs (energy and maintenance)</t>
  </si>
  <si>
    <t>Months in use</t>
  </si>
  <si>
    <t>51-100</t>
  </si>
  <si>
    <t>101-150</t>
  </si>
  <si>
    <t>151-200</t>
  </si>
  <si>
    <t>201-250</t>
  </si>
  <si>
    <t>Over 250</t>
  </si>
  <si>
    <t>Unit Energy Consumption (kWh/yr)</t>
  </si>
  <si>
    <t>Days in use</t>
  </si>
  <si>
    <t>Assumption</t>
  </si>
  <si>
    <t xml:space="preserve">Overall Clean Air Delivery Rate (CADR) </t>
  </si>
  <si>
    <t>CADR 51-100</t>
  </si>
  <si>
    <t>CADR 101-150</t>
  </si>
  <si>
    <t>CADR 151-200</t>
  </si>
  <si>
    <t>CADR 201-250</t>
  </si>
  <si>
    <t>CADR Over 250</t>
  </si>
  <si>
    <t>kWh/year</t>
  </si>
  <si>
    <t xml:space="preserve">For questions or comments, please send your email to: 
</t>
  </si>
  <si>
    <t>Escalcs@cadmusgroup.com</t>
  </si>
  <si>
    <t>Unit Energy Consumption (kWh/year)</t>
  </si>
  <si>
    <t>months/year</t>
  </si>
  <si>
    <t>days/year</t>
  </si>
  <si>
    <t>EPA 2004. Please note that some types of room air cleaners require filter replacement or periodic cleaning, which has not been included in this estimate.</t>
  </si>
  <si>
    <t>Assumptions for Room Air Cleaners</t>
  </si>
  <si>
    <t>EPA 2006</t>
  </si>
  <si>
    <t>Electricity Carbon Emission Factor</t>
  </si>
  <si>
    <t>Commercial Electricity Price</t>
  </si>
  <si>
    <t>Residential Electricity Price</t>
  </si>
  <si>
    <t>Energy Prices</t>
  </si>
  <si>
    <t>EIA 2007</t>
  </si>
  <si>
    <t>Calculator last updated 01/08</t>
  </si>
  <si>
    <t>CADR/Watt</t>
  </si>
  <si>
    <t>ENERGY STAR Specification</t>
  </si>
  <si>
    <t>CADR/kWh</t>
  </si>
  <si>
    <t>kWh/yr</t>
  </si>
  <si>
    <t>Calculated</t>
  </si>
  <si>
    <t>LBNL 2007</t>
  </si>
  <si>
    <t>Industry Data 2007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</si>
</sst>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_);[Red]\(#,##0.0000\)"/>
    <numFmt numFmtId="179" formatCode="0.0000"/>
    <numFmt numFmtId="180" formatCode="&quot;$&quot;#,##0.0000"/>
    <numFmt numFmtId="181" formatCode="0.000000"/>
    <numFmt numFmtId="182" formatCode="0.00000"/>
    <numFmt numFmtId="183" formatCode="0.000"/>
  </numFmts>
  <fonts count="69">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1"/>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Univers"/>
      <family val="2"/>
    </font>
    <font>
      <b/>
      <sz val="12"/>
      <color indexed="10"/>
      <name val="Univers"/>
      <family val="2"/>
    </font>
    <font>
      <sz val="11"/>
      <color indexed="10"/>
      <name val="Univers"/>
      <family val="2"/>
    </font>
    <font>
      <b/>
      <sz val="12"/>
      <color indexed="9"/>
      <name val="Univers"/>
      <family val="2"/>
    </font>
    <font>
      <sz val="11"/>
      <color indexed="9"/>
      <name val="Univers"/>
      <family val="2"/>
    </font>
    <font>
      <sz val="10"/>
      <color indexed="9"/>
      <name val="Univers"/>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Univers"/>
      <family val="2"/>
    </font>
    <font>
      <b/>
      <sz val="12"/>
      <color rgb="FFFF0000"/>
      <name val="Univers"/>
      <family val="2"/>
    </font>
    <font>
      <sz val="11"/>
      <color rgb="FFFF0000"/>
      <name val="Univers"/>
      <family val="2"/>
    </font>
    <font>
      <b/>
      <sz val="12"/>
      <color theme="0"/>
      <name val="Univers"/>
      <family val="2"/>
    </font>
    <font>
      <sz val="11"/>
      <color theme="0"/>
      <name val="Univers"/>
      <family val="2"/>
    </font>
    <font>
      <sz val="10"/>
      <color theme="0"/>
      <name val="Univer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7">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0"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34" borderId="11" xfId="0" applyFont="1" applyFill="1" applyBorder="1" applyAlignment="1" applyProtection="1">
      <alignment/>
      <protection/>
    </xf>
    <xf numFmtId="0" fontId="10" fillId="34" borderId="11" xfId="0" applyFont="1" applyFill="1" applyBorder="1" applyAlignment="1" applyProtection="1">
      <alignment/>
      <protection/>
    </xf>
    <xf numFmtId="171" fontId="1" fillId="33" borderId="14" xfId="0" applyNumberFormat="1" applyFont="1" applyFill="1" applyBorder="1" applyAlignment="1" applyProtection="1">
      <alignment/>
      <protection/>
    </xf>
    <xf numFmtId="164" fontId="1" fillId="36" borderId="21"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10"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166" fontId="1" fillId="36" borderId="21" xfId="0" applyNumberFormat="1" applyFont="1" applyFill="1" applyBorder="1" applyAlignment="1" applyProtection="1">
      <alignment horizontal="right"/>
      <protection locked="0"/>
    </xf>
    <xf numFmtId="0" fontId="1" fillId="0" borderId="11" xfId="0" applyNumberFormat="1" applyFont="1" applyFill="1" applyBorder="1" applyAlignment="1" applyProtection="1">
      <alignment horizontal="right"/>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8"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8" applyFont="1" applyFill="1" applyBorder="1" applyAlignment="1" applyProtection="1">
      <alignment/>
      <protection/>
    </xf>
    <xf numFmtId="167" fontId="1" fillId="34" borderId="0" xfId="0" applyNumberFormat="1" applyFont="1" applyFill="1" applyBorder="1" applyAlignment="1" applyProtection="1">
      <alignment horizontal="righ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1" fontId="1" fillId="0" borderId="11" xfId="0" applyNumberFormat="1" applyFont="1" applyBorder="1" applyAlignment="1" applyProtection="1">
      <alignment horizontal="right"/>
      <protection/>
    </xf>
    <xf numFmtId="9" fontId="1" fillId="33" borderId="0" xfId="0" applyNumberFormat="1" applyFont="1" applyFill="1" applyBorder="1" applyAlignment="1" applyProtection="1">
      <alignment horizontal="right"/>
      <protection locked="0"/>
    </xf>
    <xf numFmtId="0" fontId="1" fillId="33" borderId="0" xfId="0" applyNumberFormat="1" applyFont="1" applyFill="1" applyBorder="1" applyAlignment="1" applyProtection="1">
      <alignment horizontal="center"/>
      <protection locked="0"/>
    </xf>
    <xf numFmtId="0" fontId="1" fillId="33" borderId="0" xfId="0" applyNumberFormat="1" applyFont="1" applyFill="1" applyBorder="1" applyAlignment="1" applyProtection="1">
      <alignment horizontal="right"/>
      <protection/>
    </xf>
    <xf numFmtId="3" fontId="1" fillId="34" borderId="0" xfId="0" applyNumberFormat="1" applyFont="1" applyFill="1" applyBorder="1" applyAlignment="1" applyProtection="1">
      <alignment horizontal="right"/>
      <protection/>
    </xf>
    <xf numFmtId="3" fontId="1" fillId="33" borderId="14" xfId="0" applyNumberFormat="1" applyFont="1" applyFill="1" applyBorder="1" applyAlignment="1" applyProtection="1">
      <alignment horizontal="right"/>
      <protection/>
    </xf>
    <xf numFmtId="3" fontId="1" fillId="36" borderId="21" xfId="0" applyNumberFormat="1" applyFont="1" applyFill="1" applyBorder="1" applyAlignment="1" applyProtection="1">
      <alignment horizontal="right"/>
      <protection locked="0"/>
    </xf>
    <xf numFmtId="3" fontId="1" fillId="33" borderId="0" xfId="0" applyNumberFormat="1" applyFont="1" applyFill="1" applyBorder="1" applyAlignment="1" applyProtection="1">
      <alignment horizontal="right"/>
      <protection locked="0"/>
    </xf>
    <xf numFmtId="3" fontId="1" fillId="0" borderId="12" xfId="0" applyNumberFormat="1" applyFont="1" applyFill="1" applyBorder="1" applyAlignment="1" applyProtection="1">
      <alignment horizontal="left"/>
      <protection/>
    </xf>
    <xf numFmtId="0" fontId="2" fillId="0" borderId="18" xfId="0" applyFont="1" applyFill="1" applyBorder="1" applyAlignment="1" applyProtection="1">
      <alignment wrapText="1"/>
      <protection/>
    </xf>
    <xf numFmtId="177" fontId="1" fillId="36" borderId="21" xfId="0" applyNumberFormat="1" applyFont="1" applyFill="1" applyBorder="1" applyAlignment="1" applyProtection="1">
      <alignment/>
      <protection locked="0"/>
    </xf>
    <xf numFmtId="167" fontId="1" fillId="0" borderId="0"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0" fontId="1" fillId="0" borderId="18" xfId="0" applyFont="1" applyBorder="1" applyAlignment="1" applyProtection="1">
      <alignment horizontal="left" indent="2"/>
      <protection/>
    </xf>
    <xf numFmtId="3" fontId="1" fillId="0" borderId="0" xfId="0" applyNumberFormat="1" applyFont="1" applyFill="1" applyAlignment="1" applyProtection="1">
      <alignment horizontal="right"/>
      <protection/>
    </xf>
    <xf numFmtId="0" fontId="1" fillId="0" borderId="0" xfId="0" applyFont="1" applyBorder="1" applyAlignment="1" applyProtection="1">
      <alignment horizontal="left" wrapText="1"/>
      <protection/>
    </xf>
    <xf numFmtId="0" fontId="20" fillId="0" borderId="0" xfId="52" applyFont="1" applyFill="1" applyAlignment="1" applyProtection="1">
      <alignment horizontal="left"/>
      <protection/>
    </xf>
    <xf numFmtId="167" fontId="10" fillId="35" borderId="0" xfId="0" applyNumberFormat="1" applyFont="1" applyFill="1" applyBorder="1" applyAlignment="1" applyProtection="1">
      <alignment/>
      <protection/>
    </xf>
    <xf numFmtId="169" fontId="10" fillId="35" borderId="0" xfId="0" applyNumberFormat="1" applyFont="1" applyFill="1" applyBorder="1" applyAlignment="1" applyProtection="1">
      <alignment/>
      <protection/>
    </xf>
    <xf numFmtId="3" fontId="10" fillId="35" borderId="0" xfId="0" applyNumberFormat="1" applyFont="1" applyFill="1" applyBorder="1" applyAlignment="1" applyProtection="1">
      <alignment/>
      <protection/>
    </xf>
    <xf numFmtId="9" fontId="10" fillId="35" borderId="0" xfId="58" applyFont="1" applyFill="1" applyBorder="1" applyAlignment="1" applyProtection="1">
      <alignment/>
      <protection/>
    </xf>
    <xf numFmtId="0" fontId="10" fillId="0" borderId="15" xfId="0" applyFont="1" applyFill="1" applyBorder="1" applyAlignment="1" applyProtection="1">
      <alignment/>
      <protection/>
    </xf>
    <xf numFmtId="0" fontId="21" fillId="0" borderId="0" xfId="0" applyFont="1" applyBorder="1" applyAlignment="1" applyProtection="1">
      <alignment/>
      <protection/>
    </xf>
    <xf numFmtId="0" fontId="21" fillId="0" borderId="0" xfId="0" applyFont="1" applyAlignment="1" applyProtection="1">
      <alignment/>
      <protection/>
    </xf>
    <xf numFmtId="0" fontId="1" fillId="0" borderId="11" xfId="0" applyFont="1" applyFill="1" applyBorder="1" applyAlignment="1" applyProtection="1">
      <alignment vertical="top"/>
      <protection/>
    </xf>
    <xf numFmtId="0" fontId="1" fillId="0" borderId="12" xfId="0" applyFont="1" applyFill="1" applyBorder="1" applyAlignment="1" applyProtection="1">
      <alignment vertical="top"/>
      <protection/>
    </xf>
    <xf numFmtId="0" fontId="1" fillId="0" borderId="11" xfId="0" applyFont="1" applyFill="1" applyBorder="1" applyAlignment="1" applyProtection="1">
      <alignment horizontal="left" vertical="top" indent="1"/>
      <protection/>
    </xf>
    <xf numFmtId="180"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0" fontId="63" fillId="0" borderId="0" xfId="0" applyFont="1" applyFill="1" applyBorder="1" applyAlignment="1" applyProtection="1">
      <alignment/>
      <protection/>
    </xf>
    <xf numFmtId="1" fontId="63" fillId="0" borderId="0" xfId="0" applyNumberFormat="1" applyFont="1" applyFill="1" applyBorder="1" applyAlignment="1" applyProtection="1">
      <alignment horizontal="left"/>
      <protection/>
    </xf>
    <xf numFmtId="0" fontId="63" fillId="0" borderId="0" xfId="0" applyFont="1" applyBorder="1" applyAlignment="1" applyProtection="1">
      <alignment/>
      <protection/>
    </xf>
    <xf numFmtId="0" fontId="64" fillId="0" borderId="0" xfId="0" applyFont="1" applyFill="1" applyBorder="1" applyAlignment="1" applyProtection="1">
      <alignment/>
      <protection/>
    </xf>
    <xf numFmtId="0" fontId="65" fillId="0" borderId="0" xfId="0" applyFont="1" applyFill="1" applyBorder="1" applyAlignment="1" applyProtection="1">
      <alignment/>
      <protection/>
    </xf>
    <xf numFmtId="0" fontId="65" fillId="0" borderId="0" xfId="0" applyFont="1" applyBorder="1" applyAlignment="1" applyProtection="1">
      <alignment/>
      <protection/>
    </xf>
    <xf numFmtId="0" fontId="63" fillId="0" borderId="0" xfId="0" applyFont="1" applyBorder="1" applyAlignment="1" applyProtection="1">
      <alignment/>
      <protection/>
    </xf>
    <xf numFmtId="2" fontId="1" fillId="0" borderId="11" xfId="0" applyNumberFormat="1" applyFont="1" applyFill="1" applyBorder="1" applyAlignment="1" applyProtection="1">
      <alignment horizontal="right"/>
      <protection/>
    </xf>
    <xf numFmtId="1" fontId="1" fillId="0" borderId="0" xfId="0" applyNumberFormat="1" applyFont="1" applyFill="1" applyBorder="1" applyAlignment="1" applyProtection="1">
      <alignment horizontal="right"/>
      <protection/>
    </xf>
    <xf numFmtId="0" fontId="66" fillId="0" borderId="0" xfId="0" applyFont="1" applyFill="1" applyBorder="1" applyAlignment="1" applyProtection="1">
      <alignment/>
      <protection/>
    </xf>
    <xf numFmtId="0" fontId="67" fillId="0" borderId="0" xfId="0" applyFont="1" applyFill="1" applyBorder="1" applyAlignment="1" applyProtection="1">
      <alignment/>
      <protection/>
    </xf>
    <xf numFmtId="0" fontId="68" fillId="0" borderId="0" xfId="0" applyFont="1" applyFill="1" applyBorder="1" applyAlignment="1" applyProtection="1">
      <alignment/>
      <protection/>
    </xf>
    <xf numFmtId="1" fontId="68" fillId="0" borderId="0" xfId="0" applyNumberFormat="1" applyFont="1" applyFill="1" applyBorder="1" applyAlignment="1" applyProtection="1">
      <alignment horizontal="center"/>
      <protection locked="0"/>
    </xf>
    <xf numFmtId="1" fontId="68" fillId="0" borderId="0" xfId="0" applyNumberFormat="1" applyFont="1" applyFill="1" applyBorder="1" applyAlignment="1" applyProtection="1">
      <alignment horizontal="center"/>
      <protection/>
    </xf>
    <xf numFmtId="0" fontId="68" fillId="0" borderId="0" xfId="0" applyFont="1" applyBorder="1" applyAlignment="1" applyProtection="1">
      <alignment/>
      <protection/>
    </xf>
    <xf numFmtId="0" fontId="68" fillId="0" borderId="0" xfId="0" applyFont="1" applyBorder="1" applyAlignment="1" applyProtection="1">
      <alignment/>
      <protection/>
    </xf>
    <xf numFmtId="0" fontId="17" fillId="0" borderId="0" xfId="0" applyFont="1" applyAlignment="1" applyProtection="1">
      <alignment horizontal="left"/>
      <protection/>
    </xf>
    <xf numFmtId="0" fontId="13" fillId="0" borderId="0" xfId="0" applyFont="1" applyAlignment="1">
      <alignment horizontal="center" wrapText="1"/>
    </xf>
    <xf numFmtId="0" fontId="10" fillId="34" borderId="22"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10"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2" fillId="0" borderId="0" xfId="0" applyFont="1" applyAlignment="1">
      <alignment horizontal="center" wrapText="1"/>
    </xf>
    <xf numFmtId="0" fontId="1" fillId="0" borderId="0" xfId="0" applyFont="1" applyAlignment="1">
      <alignment horizontal="left" wrapText="1"/>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0"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1"/>
  <sheetViews>
    <sheetView tabSelected="1" zoomScale="85" zoomScaleNormal="85" zoomScaleSheetLayoutView="100" zoomScalePageLayoutView="0" workbookViewId="0" topLeftCell="A1">
      <selection activeCell="C18" sqref="C18"/>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1" t="s">
        <v>0</v>
      </c>
      <c r="B7" s="181"/>
      <c r="C7" s="181"/>
      <c r="D7" s="181"/>
      <c r="E7" s="181"/>
      <c r="F7" s="181"/>
      <c r="G7" s="181"/>
      <c r="H7" s="181"/>
      <c r="I7" s="181"/>
      <c r="J7" s="181"/>
      <c r="K7" s="181"/>
      <c r="L7" s="181"/>
      <c r="M7" s="181"/>
    </row>
    <row r="8" spans="1:13" ht="15.75" customHeight="1">
      <c r="A8" s="181" t="str">
        <f>""&amp;C16&amp;" ENERGY STAR Qualified Room Air Cleaner(s)"</f>
        <v>1 ENERGY STAR Qualified Room Air Cleaner(s)</v>
      </c>
      <c r="B8" s="181"/>
      <c r="C8" s="181"/>
      <c r="D8" s="181"/>
      <c r="E8" s="181"/>
      <c r="F8" s="181"/>
      <c r="G8" s="181"/>
      <c r="H8" s="181"/>
      <c r="I8" s="181"/>
      <c r="J8" s="181"/>
      <c r="K8" s="181"/>
      <c r="L8" s="181"/>
      <c r="M8" s="181"/>
    </row>
    <row r="9" spans="1:13" s="3" customFormat="1" ht="12.75">
      <c r="A9" s="2"/>
      <c r="B9" s="2"/>
      <c r="C9" s="2"/>
      <c r="D9" s="2"/>
      <c r="E9" s="2"/>
      <c r="F9" s="2"/>
      <c r="G9" s="2"/>
      <c r="H9" s="2"/>
      <c r="I9" s="2"/>
      <c r="J9" s="2"/>
      <c r="K9" s="2"/>
      <c r="L9" s="2"/>
      <c r="M9" s="2"/>
    </row>
    <row r="10" spans="1:13" ht="15.75" customHeight="1">
      <c r="A10" s="39"/>
      <c r="B10" s="39"/>
      <c r="C10" s="39"/>
      <c r="D10" s="39"/>
      <c r="E10" s="39"/>
      <c r="F10" s="39"/>
      <c r="G10" s="39"/>
      <c r="H10" s="39"/>
      <c r="I10" s="39"/>
      <c r="J10" s="39"/>
      <c r="K10" s="39"/>
      <c r="L10" s="39"/>
      <c r="M10" s="39"/>
    </row>
    <row r="11" spans="1:13" s="3" customFormat="1" ht="24" customHeight="1">
      <c r="A11" s="182" t="s">
        <v>41</v>
      </c>
      <c r="B11" s="182"/>
      <c r="C11" s="182"/>
      <c r="D11" s="182"/>
      <c r="E11" s="182"/>
      <c r="F11" s="182"/>
      <c r="G11" s="182"/>
      <c r="H11" s="182"/>
      <c r="I11" s="182"/>
      <c r="J11" s="182"/>
      <c r="K11" s="182"/>
      <c r="L11" s="182"/>
      <c r="M11" s="182"/>
    </row>
    <row r="12" spans="1:13" s="3" customFormat="1" ht="12.75">
      <c r="A12" s="2"/>
      <c r="B12" s="2"/>
      <c r="C12" s="2"/>
      <c r="D12" s="2"/>
      <c r="E12" s="2"/>
      <c r="F12" s="2"/>
      <c r="G12" s="2"/>
      <c r="H12" s="2"/>
      <c r="I12" s="2"/>
      <c r="J12" s="2"/>
      <c r="K12" s="2"/>
      <c r="L12" s="2"/>
      <c r="M12" s="2"/>
    </row>
    <row r="13" ht="15.75" customHeight="1">
      <c r="A13" s="25"/>
    </row>
    <row r="14" spans="1:13" ht="15.75">
      <c r="A14" s="175" t="s">
        <v>1</v>
      </c>
      <c r="B14" s="175"/>
      <c r="C14" s="175"/>
      <c r="D14" s="175"/>
      <c r="E14" s="175"/>
      <c r="F14" s="175"/>
      <c r="G14" s="175"/>
      <c r="H14" s="175"/>
      <c r="I14" s="175"/>
      <c r="J14" s="175"/>
      <c r="K14" s="175"/>
      <c r="L14" s="175"/>
      <c r="M14" s="175"/>
    </row>
    <row r="15" spans="1:13" ht="4.5" customHeight="1" thickBot="1">
      <c r="A15" s="40"/>
      <c r="B15" s="41"/>
      <c r="C15" s="41"/>
      <c r="D15" s="41">
        <v>4</v>
      </c>
      <c r="E15" s="41"/>
      <c r="F15" s="41"/>
      <c r="G15" s="41"/>
      <c r="H15" s="41"/>
      <c r="I15" s="41"/>
      <c r="J15" s="41"/>
      <c r="K15" s="41"/>
      <c r="L15" s="41"/>
      <c r="M15" s="4"/>
    </row>
    <row r="16" spans="1:14" ht="15.75" customHeight="1" thickBot="1">
      <c r="A16" s="5" t="s">
        <v>2</v>
      </c>
      <c r="B16" s="6"/>
      <c r="C16" s="94">
        <v>1</v>
      </c>
      <c r="D16" s="7"/>
      <c r="E16" s="7"/>
      <c r="F16" s="7"/>
      <c r="G16" s="7"/>
      <c r="H16" s="7"/>
      <c r="I16" s="7"/>
      <c r="J16" s="7"/>
      <c r="K16" s="7"/>
      <c r="L16" s="7"/>
      <c r="M16" s="8"/>
      <c r="N16" s="9"/>
    </row>
    <row r="17" spans="1:13" ht="15.75" customHeight="1" thickBot="1">
      <c r="A17" s="10" t="s">
        <v>49</v>
      </c>
      <c r="B17" s="6"/>
      <c r="C17" s="138">
        <f>Assumptions!B40</f>
        <v>0.09706</v>
      </c>
      <c r="D17" s="7"/>
      <c r="E17" s="7"/>
      <c r="F17" s="7"/>
      <c r="G17" s="7"/>
      <c r="H17" s="7"/>
      <c r="I17" s="7"/>
      <c r="J17" s="7"/>
      <c r="K17" s="7"/>
      <c r="L17" s="7"/>
      <c r="M17" s="8"/>
    </row>
    <row r="18" spans="1:13" ht="17.25" customHeight="1">
      <c r="A18" s="5" t="s">
        <v>62</v>
      </c>
      <c r="B18" s="7"/>
      <c r="C18" s="130"/>
      <c r="D18" s="107"/>
      <c r="E18" s="107"/>
      <c r="F18" s="107"/>
      <c r="G18" s="129"/>
      <c r="H18" s="11"/>
      <c r="I18" s="11"/>
      <c r="J18" s="12"/>
      <c r="K18" s="7"/>
      <c r="L18" s="11"/>
      <c r="M18" s="8"/>
    </row>
    <row r="19" spans="1:13" ht="15" customHeight="1">
      <c r="A19" s="5"/>
      <c r="B19" s="7"/>
      <c r="C19" s="131"/>
      <c r="D19" s="37"/>
      <c r="E19" s="37"/>
      <c r="F19" s="37"/>
      <c r="G19" s="7"/>
      <c r="H19" s="7"/>
      <c r="I19" s="7"/>
      <c r="J19" s="7"/>
      <c r="K19" s="7"/>
      <c r="L19" s="7"/>
      <c r="M19" s="8"/>
    </row>
    <row r="20" spans="1:13" ht="27.75" customHeight="1">
      <c r="A20" s="54"/>
      <c r="B20" s="179" t="s">
        <v>3</v>
      </c>
      <c r="C20" s="179"/>
      <c r="D20" s="179"/>
      <c r="E20" s="43"/>
      <c r="F20" s="179" t="s">
        <v>4</v>
      </c>
      <c r="G20" s="179"/>
      <c r="H20" s="179"/>
      <c r="I20" s="43"/>
      <c r="J20" s="180"/>
      <c r="K20" s="180"/>
      <c r="L20" s="180"/>
      <c r="M20" s="8"/>
    </row>
    <row r="21" spans="1:13" ht="9.75" customHeight="1" thickBot="1">
      <c r="A21" s="42"/>
      <c r="B21" s="43"/>
      <c r="C21" s="43"/>
      <c r="D21" s="43"/>
      <c r="E21" s="43"/>
      <c r="F21" s="43"/>
      <c r="G21" s="98"/>
      <c r="H21" s="43"/>
      <c r="I21" s="43"/>
      <c r="J21" s="43"/>
      <c r="K21" s="43"/>
      <c r="L21" s="43"/>
      <c r="M21" s="8"/>
    </row>
    <row r="22" spans="1:13" ht="15.75" customHeight="1" thickBot="1">
      <c r="A22" s="5" t="s">
        <v>47</v>
      </c>
      <c r="B22" s="7"/>
      <c r="C22" s="101">
        <f>Assumptions!B6</f>
        <v>200</v>
      </c>
      <c r="D22" s="11"/>
      <c r="E22" s="11"/>
      <c r="F22" s="11"/>
      <c r="G22" s="101">
        <f>Assumptions!B18</f>
        <v>143</v>
      </c>
      <c r="H22" s="11"/>
      <c r="I22" s="11"/>
      <c r="J22" s="12"/>
      <c r="K22" s="7"/>
      <c r="L22" s="11"/>
      <c r="M22" s="8"/>
    </row>
    <row r="23" spans="1:13" ht="15.75" customHeight="1" thickBot="1">
      <c r="A23" s="5" t="s">
        <v>59</v>
      </c>
      <c r="B23" s="7"/>
      <c r="C23" s="134">
        <f>IF(Assumptions!E3=1,Assumptions!B10,IF(Assumptions!E3=2,Assumptions!B11,IF(Assumptions!E3=3,Assumptions!B12,IF(Assumptions!E3=4,Assumptions!B13,Assumptions!B14))))</f>
        <v>328.5</v>
      </c>
      <c r="D23" s="135"/>
      <c r="E23" s="135"/>
      <c r="F23" s="135"/>
      <c r="G23" s="134">
        <f>IF(Assumptions!E3=1,Assumptions!B20,IF(Assumptions!E3=2,Assumptions!B21,IF(Assumptions!E3=3,Assumptions!B22,IF(Assumptions!E3=4,Assumptions!B23,Assumptions!B24))))</f>
        <v>596</v>
      </c>
      <c r="H23" s="11"/>
      <c r="I23" s="11"/>
      <c r="J23" s="12"/>
      <c r="K23" s="7"/>
      <c r="L23" s="11"/>
      <c r="M23" s="8"/>
    </row>
    <row r="24" spans="1:13" ht="4.5" customHeight="1">
      <c r="A24" s="13"/>
      <c r="B24" s="14"/>
      <c r="C24" s="133"/>
      <c r="D24" s="14"/>
      <c r="E24" s="14"/>
      <c r="F24" s="14"/>
      <c r="G24" s="93"/>
      <c r="H24" s="14"/>
      <c r="I24" s="14"/>
      <c r="J24" s="14"/>
      <c r="K24" s="14"/>
      <c r="L24" s="14"/>
      <c r="M24" s="15"/>
    </row>
    <row r="25" ht="14.25" customHeight="1">
      <c r="A25" s="44"/>
    </row>
    <row r="26" ht="15.75" customHeight="1">
      <c r="A26" s="45"/>
    </row>
    <row r="27" spans="1:13" ht="15.75">
      <c r="A27" s="175" t="str">
        <f>"Annual and Life Cycle Costs and Savings for "&amp;C16&amp;" Room Air Cleaner(s)"</f>
        <v>Annual and Life Cycle Costs and Savings for 1 Room Air Cleaner(s)</v>
      </c>
      <c r="B27" s="175"/>
      <c r="C27" s="175"/>
      <c r="D27" s="175"/>
      <c r="E27" s="175"/>
      <c r="F27" s="175"/>
      <c r="G27" s="175"/>
      <c r="H27" s="175"/>
      <c r="I27" s="175"/>
      <c r="J27" s="175"/>
      <c r="K27" s="175"/>
      <c r="L27" s="175"/>
      <c r="M27" s="175"/>
    </row>
    <row r="28" spans="1:13" ht="31.5" customHeight="1">
      <c r="A28" s="16"/>
      <c r="B28" s="176" t="str">
        <f>""&amp;C16&amp;" ENERGY STAR Qualified Units"</f>
        <v>1 ENERGY STAR Qualified Units</v>
      </c>
      <c r="C28" s="176"/>
      <c r="D28" s="176"/>
      <c r="E28" s="46"/>
      <c r="F28" s="176" t="str">
        <f>""&amp;C16&amp;" Conventional Units"</f>
        <v>1 Conventional Units</v>
      </c>
      <c r="G28" s="176"/>
      <c r="H28" s="176"/>
      <c r="I28" s="46"/>
      <c r="J28" s="176" t="s">
        <v>5</v>
      </c>
      <c r="K28" s="176"/>
      <c r="L28" s="176"/>
      <c r="M28" s="17"/>
    </row>
    <row r="29" spans="1:13" ht="15.75" customHeight="1">
      <c r="A29" s="91" t="s">
        <v>33</v>
      </c>
      <c r="B29" s="18"/>
      <c r="C29" s="18"/>
      <c r="D29" s="18"/>
      <c r="E29" s="18"/>
      <c r="F29" s="18"/>
      <c r="G29" s="18"/>
      <c r="H29" s="18"/>
      <c r="I29" s="18"/>
      <c r="J29" s="18"/>
      <c r="K29" s="18"/>
      <c r="L29" s="18"/>
      <c r="M29" s="19"/>
    </row>
    <row r="30" spans="1:13" ht="15.75" customHeight="1">
      <c r="A30" s="20" t="s">
        <v>6</v>
      </c>
      <c r="B30" s="18"/>
      <c r="C30" s="121">
        <f>C31*C17</f>
        <v>31.88421</v>
      </c>
      <c r="D30" s="18"/>
      <c r="E30" s="18"/>
      <c r="F30" s="18"/>
      <c r="G30" s="132">
        <f>G31*C17</f>
        <v>57.847759999999994</v>
      </c>
      <c r="H30" s="18"/>
      <c r="I30" s="18"/>
      <c r="J30" s="18"/>
      <c r="K30" s="21">
        <f>G30-C30</f>
        <v>25.963549999999994</v>
      </c>
      <c r="L30" s="18"/>
      <c r="M30" s="19"/>
    </row>
    <row r="31" spans="1:13" s="3" customFormat="1" ht="15.75" customHeight="1" outlineLevel="1">
      <c r="A31" s="122" t="s">
        <v>44</v>
      </c>
      <c r="B31" s="123"/>
      <c r="C31" s="124">
        <f>C16*'Room Air Cleaner Calculator'!C23</f>
        <v>328.5</v>
      </c>
      <c r="D31" s="124"/>
      <c r="E31" s="124"/>
      <c r="F31" s="124"/>
      <c r="G31" s="124">
        <f>C16*G23</f>
        <v>596</v>
      </c>
      <c r="H31" s="125"/>
      <c r="I31" s="125"/>
      <c r="J31" s="125"/>
      <c r="K31" s="124">
        <f>G31-C31</f>
        <v>267.5</v>
      </c>
      <c r="L31" s="125"/>
      <c r="M31" s="126"/>
    </row>
    <row r="32" spans="1:13" ht="15.75" customHeight="1">
      <c r="A32" s="108" t="s">
        <v>7</v>
      </c>
      <c r="B32" s="18"/>
      <c r="C32" s="106">
        <f>C16*(Assumptions!B28*Assumptions!B29)</f>
        <v>0</v>
      </c>
      <c r="D32" s="18"/>
      <c r="E32" s="18"/>
      <c r="F32" s="18"/>
      <c r="G32" s="21">
        <f>C16*(Assumptions!B28*Assumptions!B29)</f>
        <v>0</v>
      </c>
      <c r="H32" s="18"/>
      <c r="I32" s="18"/>
      <c r="J32" s="18"/>
      <c r="K32" s="21">
        <f>G32-C32</f>
        <v>0</v>
      </c>
      <c r="L32" s="18"/>
      <c r="M32" s="19"/>
    </row>
    <row r="33" spans="1:13" s="25" customFormat="1" ht="15.75" customHeight="1">
      <c r="A33" s="92" t="s">
        <v>8</v>
      </c>
      <c r="B33" s="23"/>
      <c r="C33" s="49">
        <f>C30+C32</f>
        <v>31.88421</v>
      </c>
      <c r="D33" s="23"/>
      <c r="E33" s="23"/>
      <c r="F33" s="23"/>
      <c r="G33" s="49">
        <f>G30+G32</f>
        <v>57.847759999999994</v>
      </c>
      <c r="H33" s="23"/>
      <c r="I33" s="23"/>
      <c r="J33" s="23"/>
      <c r="K33" s="49">
        <f>K30+K32</f>
        <v>25.963549999999994</v>
      </c>
      <c r="L33" s="23"/>
      <c r="M33" s="24"/>
    </row>
    <row r="34" spans="1:13" ht="15.75" customHeight="1">
      <c r="A34" s="20"/>
      <c r="B34" s="18"/>
      <c r="C34" s="18"/>
      <c r="D34" s="18"/>
      <c r="E34" s="18"/>
      <c r="F34" s="18"/>
      <c r="G34" s="18"/>
      <c r="H34" s="18"/>
      <c r="I34" s="18"/>
      <c r="J34" s="18"/>
      <c r="K34" s="18"/>
      <c r="L34" s="18"/>
      <c r="M34" s="19"/>
    </row>
    <row r="35" spans="1:13" ht="15.75" customHeight="1">
      <c r="A35" s="91" t="s">
        <v>34</v>
      </c>
      <c r="B35" s="18"/>
      <c r="C35" s="18"/>
      <c r="D35" s="18"/>
      <c r="E35" s="18"/>
      <c r="F35" s="18"/>
      <c r="G35" s="18"/>
      <c r="H35" s="18"/>
      <c r="I35" s="18"/>
      <c r="J35" s="18"/>
      <c r="K35" s="18"/>
      <c r="L35" s="18"/>
      <c r="M35" s="19"/>
    </row>
    <row r="36" spans="1:13" ht="15.75" customHeight="1">
      <c r="A36" s="38" t="s">
        <v>52</v>
      </c>
      <c r="B36" s="18"/>
      <c r="C36" s="21">
        <f>C37+C39</f>
        <v>237.06967448975243</v>
      </c>
      <c r="D36" s="18"/>
      <c r="E36" s="18"/>
      <c r="F36" s="18"/>
      <c r="G36" s="21">
        <f>G37+G39</f>
        <v>430.1172785263088</v>
      </c>
      <c r="H36" s="18"/>
      <c r="I36" s="18"/>
      <c r="J36" s="18"/>
      <c r="K36" s="21">
        <f>G36-C36</f>
        <v>193.04760403655635</v>
      </c>
      <c r="L36" s="18"/>
      <c r="M36" s="19"/>
    </row>
    <row r="37" spans="1:13" ht="15.75" customHeight="1">
      <c r="A37" s="22" t="s">
        <v>46</v>
      </c>
      <c r="B37" s="18"/>
      <c r="C37" s="21">
        <f>PV(Assumptions!B36,Assumptions!B15,-C30,,0)</f>
        <v>237.06967448975243</v>
      </c>
      <c r="D37" s="18"/>
      <c r="E37" s="18"/>
      <c r="F37" s="18"/>
      <c r="G37" s="21">
        <f>PV(Assumptions!B36,Assumptions!B25,-G30,,0)</f>
        <v>430.1172785263088</v>
      </c>
      <c r="H37" s="18"/>
      <c r="I37" s="18"/>
      <c r="J37" s="18"/>
      <c r="K37" s="21">
        <f>G37-C37</f>
        <v>193.04760403655635</v>
      </c>
      <c r="L37" s="18"/>
      <c r="M37" s="19"/>
    </row>
    <row r="38" spans="1:13" s="3" customFormat="1" ht="15.75" customHeight="1" hidden="1" outlineLevel="1">
      <c r="A38" s="122" t="s">
        <v>44</v>
      </c>
      <c r="B38" s="123"/>
      <c r="C38" s="124">
        <f>C31*Assumptions!B15</f>
        <v>2956.5</v>
      </c>
      <c r="D38" s="125"/>
      <c r="E38" s="125"/>
      <c r="F38" s="125"/>
      <c r="G38" s="124">
        <f>G31*Assumptions!B25</f>
        <v>5364</v>
      </c>
      <c r="H38" s="125"/>
      <c r="I38" s="125"/>
      <c r="J38" s="125"/>
      <c r="K38" s="124">
        <f>G38-C38</f>
        <v>2407.5</v>
      </c>
      <c r="L38" s="127"/>
      <c r="M38" s="126"/>
    </row>
    <row r="39" spans="1:13" ht="15.75" customHeight="1" collapsed="1">
      <c r="A39" s="22" t="s">
        <v>45</v>
      </c>
      <c r="B39" s="18"/>
      <c r="C39" s="21">
        <f>PV(Assumptions!B36,Assumptions!B15,-C32,,0)</f>
        <v>0</v>
      </c>
      <c r="D39" s="18"/>
      <c r="E39" s="18"/>
      <c r="F39" s="18"/>
      <c r="G39" s="21">
        <f>PV(Assumptions!B36,Assumptions!B25,-G32,,0)</f>
        <v>0</v>
      </c>
      <c r="H39" s="18"/>
      <c r="I39" s="18"/>
      <c r="J39" s="18"/>
      <c r="K39" s="21">
        <f>G39-C39</f>
        <v>0</v>
      </c>
      <c r="L39" s="18"/>
      <c r="M39" s="19"/>
    </row>
    <row r="40" spans="1:13" ht="15.75" customHeight="1">
      <c r="A40" s="20" t="str">
        <f>"Purchase price for "&amp;C16&amp;" unit(s)"</f>
        <v>Purchase price for 1 unit(s)</v>
      </c>
      <c r="B40" s="18"/>
      <c r="C40" s="109">
        <f>C16*C22</f>
        <v>200</v>
      </c>
      <c r="D40" s="18"/>
      <c r="E40" s="18"/>
      <c r="F40" s="18"/>
      <c r="G40" s="21">
        <f>C16*G22</f>
        <v>143</v>
      </c>
      <c r="H40" s="18"/>
      <c r="I40" s="18"/>
      <c r="J40" s="18"/>
      <c r="K40" s="21">
        <f>G40-C40</f>
        <v>-57</v>
      </c>
      <c r="L40" s="18"/>
      <c r="M40" s="19"/>
    </row>
    <row r="41" spans="1:13" s="25" customFormat="1" ht="15.75" customHeight="1">
      <c r="A41" s="92" t="s">
        <v>8</v>
      </c>
      <c r="B41" s="18"/>
      <c r="C41" s="110">
        <f>C36+C40</f>
        <v>437.0696744897524</v>
      </c>
      <c r="D41" s="23"/>
      <c r="E41" s="23"/>
      <c r="F41" s="23"/>
      <c r="G41" s="49">
        <f>G36+G40</f>
        <v>573.1172785263088</v>
      </c>
      <c r="H41" s="23"/>
      <c r="I41" s="23"/>
      <c r="J41" s="23"/>
      <c r="K41" s="49">
        <f>K36+K40</f>
        <v>136.04760403655635</v>
      </c>
      <c r="L41" s="23"/>
      <c r="M41" s="24"/>
    </row>
    <row r="42" spans="1:13" s="25" customFormat="1" ht="15.75" customHeight="1">
      <c r="A42" s="48"/>
      <c r="B42" s="23"/>
      <c r="C42" s="50"/>
      <c r="D42" s="23"/>
      <c r="E42" s="23"/>
      <c r="F42" s="23"/>
      <c r="G42" s="50"/>
      <c r="H42" s="23"/>
      <c r="I42" s="23"/>
      <c r="J42" s="23"/>
      <c r="K42" s="50"/>
      <c r="L42" s="23"/>
      <c r="M42" s="24"/>
    </row>
    <row r="43" spans="1:13" ht="15.75" customHeight="1">
      <c r="A43" s="47"/>
      <c r="B43" s="18"/>
      <c r="C43" s="18"/>
      <c r="D43" s="18"/>
      <c r="E43" s="18"/>
      <c r="F43" s="18"/>
      <c r="G43" s="18"/>
      <c r="H43" s="18"/>
      <c r="I43" s="18"/>
      <c r="J43" s="26" t="s">
        <v>9</v>
      </c>
      <c r="K43" s="97">
        <f>IF(AND(K51&gt;=0,K41&gt;=0),K51/K33,"&gt; "&amp;Assumptions!B15&amp;"")</f>
        <v>2.1953854538381696</v>
      </c>
      <c r="L43" s="18"/>
      <c r="M43" s="19"/>
    </row>
    <row r="44" spans="1:13" ht="4.5" customHeight="1">
      <c r="A44" s="27"/>
      <c r="B44" s="28"/>
      <c r="C44" s="28"/>
      <c r="D44" s="28"/>
      <c r="E44" s="28"/>
      <c r="F44" s="28"/>
      <c r="G44" s="28"/>
      <c r="H44" s="28"/>
      <c r="I44" s="28"/>
      <c r="J44" s="28"/>
      <c r="K44" s="28"/>
      <c r="L44" s="28"/>
      <c r="M44" s="29"/>
    </row>
    <row r="45" spans="1:13" ht="24" customHeight="1">
      <c r="A45" s="177" t="s">
        <v>35</v>
      </c>
      <c r="B45" s="178"/>
      <c r="C45" s="178"/>
      <c r="D45" s="178"/>
      <c r="E45" s="178"/>
      <c r="F45" s="178"/>
      <c r="G45" s="178"/>
      <c r="H45" s="178"/>
      <c r="I45" s="178"/>
      <c r="J45" s="178"/>
      <c r="K45" s="178"/>
      <c r="L45" s="178"/>
      <c r="M45" s="178"/>
    </row>
    <row r="46" spans="1:13" ht="13.5">
      <c r="A46" s="174" t="s">
        <v>36</v>
      </c>
      <c r="B46" s="174"/>
      <c r="C46" s="174"/>
      <c r="D46" s="174"/>
      <c r="E46" s="174"/>
      <c r="F46" s="174"/>
      <c r="G46" s="174"/>
      <c r="H46" s="174"/>
      <c r="I46" s="174"/>
      <c r="J46" s="174"/>
      <c r="K46" s="174"/>
      <c r="L46" s="174"/>
      <c r="M46" s="174"/>
    </row>
    <row r="47" spans="1:13" ht="14.25">
      <c r="A47" s="51"/>
      <c r="B47" s="51"/>
      <c r="C47" s="51"/>
      <c r="D47" s="51"/>
      <c r="E47" s="51"/>
      <c r="F47" s="51"/>
      <c r="G47" s="51"/>
      <c r="H47" s="51"/>
      <c r="I47" s="51"/>
      <c r="J47" s="51"/>
      <c r="K47" s="51"/>
      <c r="L47" s="51"/>
      <c r="M47" s="51"/>
    </row>
    <row r="48" ht="15" customHeight="1"/>
    <row r="49" spans="1:13" ht="15.75" customHeight="1">
      <c r="A49" s="175" t="str">
        <f>"Summary of Benefits for "&amp;C16&amp;" Room Air Cleaner(s)"</f>
        <v>Summary of Benefits for 1 Room Air Cleaner(s)</v>
      </c>
      <c r="B49" s="175"/>
      <c r="C49" s="175"/>
      <c r="D49" s="175"/>
      <c r="E49" s="175"/>
      <c r="F49" s="175"/>
      <c r="G49" s="175"/>
      <c r="H49" s="175"/>
      <c r="I49" s="175"/>
      <c r="J49" s="175"/>
      <c r="K49" s="175"/>
      <c r="L49" s="175"/>
      <c r="M49" s="175"/>
    </row>
    <row r="50" spans="1:13" ht="4.5" customHeight="1">
      <c r="A50" s="30" t="s">
        <v>10</v>
      </c>
      <c r="B50" s="31"/>
      <c r="C50" s="31"/>
      <c r="D50" s="31"/>
      <c r="E50" s="31"/>
      <c r="F50" s="31"/>
      <c r="G50" s="31"/>
      <c r="H50" s="31"/>
      <c r="I50" s="31"/>
      <c r="J50" s="31"/>
      <c r="K50" s="31"/>
      <c r="L50" s="31"/>
      <c r="M50" s="32"/>
    </row>
    <row r="51" spans="1:13" ht="15.75" customHeight="1">
      <c r="A51" s="33" t="s">
        <v>11</v>
      </c>
      <c r="B51" s="53"/>
      <c r="C51" s="53"/>
      <c r="D51" s="53"/>
      <c r="E51" s="53"/>
      <c r="F51" s="53"/>
      <c r="G51" s="53"/>
      <c r="H51" s="53"/>
      <c r="I51" s="53"/>
      <c r="J51" s="53"/>
      <c r="K51" s="145">
        <f>(C22-G22)*C16</f>
        <v>57</v>
      </c>
      <c r="L51" s="111"/>
      <c r="M51" s="116"/>
    </row>
    <row r="52" spans="1:13" ht="15.75" customHeight="1">
      <c r="A52" s="33" t="s">
        <v>12</v>
      </c>
      <c r="B52" s="53"/>
      <c r="C52" s="53"/>
      <c r="D52" s="53"/>
      <c r="E52" s="53"/>
      <c r="F52" s="53"/>
      <c r="G52" s="53"/>
      <c r="H52" s="53"/>
      <c r="I52" s="53"/>
      <c r="J52" s="53"/>
      <c r="K52" s="145">
        <f>K36</f>
        <v>193.04760403655635</v>
      </c>
      <c r="L52" s="111"/>
      <c r="M52" s="116"/>
    </row>
    <row r="53" spans="1:13" ht="15.75" customHeight="1">
      <c r="A53" s="33" t="s">
        <v>13</v>
      </c>
      <c r="B53" s="53"/>
      <c r="C53" s="53"/>
      <c r="D53" s="53"/>
      <c r="E53" s="53"/>
      <c r="F53" s="53"/>
      <c r="G53" s="53"/>
      <c r="H53" s="53"/>
      <c r="I53" s="53"/>
      <c r="J53" s="53"/>
      <c r="K53" s="145">
        <f>K41</f>
        <v>136.04760403655635</v>
      </c>
      <c r="L53" s="111"/>
      <c r="M53" s="116"/>
    </row>
    <row r="54" spans="1:13" ht="15.75" customHeight="1">
      <c r="A54" s="33" t="s">
        <v>14</v>
      </c>
      <c r="B54" s="53"/>
      <c r="C54" s="53"/>
      <c r="D54" s="53"/>
      <c r="E54" s="53"/>
      <c r="F54" s="53"/>
      <c r="G54" s="53"/>
      <c r="H54" s="53"/>
      <c r="I54" s="53"/>
      <c r="J54" s="53"/>
      <c r="K54" s="146">
        <f>K43</f>
        <v>2.1953854538381696</v>
      </c>
      <c r="L54" s="112"/>
      <c r="M54" s="117"/>
    </row>
    <row r="55" spans="1:13" ht="15.75" customHeight="1">
      <c r="A55" s="33" t="s">
        <v>51</v>
      </c>
      <c r="B55" s="53"/>
      <c r="C55" s="53"/>
      <c r="D55" s="53"/>
      <c r="E55" s="53"/>
      <c r="F55" s="53"/>
      <c r="G55" s="53"/>
      <c r="H55" s="53"/>
      <c r="I55" s="53"/>
      <c r="J55" s="53"/>
      <c r="K55" s="147">
        <f>K38</f>
        <v>2407.5</v>
      </c>
      <c r="L55" s="113"/>
      <c r="M55" s="118"/>
    </row>
    <row r="56" spans="1:13" ht="15.75" customHeight="1">
      <c r="A56" s="33" t="s">
        <v>15</v>
      </c>
      <c r="B56" s="53"/>
      <c r="C56" s="53"/>
      <c r="D56" s="53"/>
      <c r="E56" s="53"/>
      <c r="F56" s="53"/>
      <c r="G56" s="53"/>
      <c r="H56" s="53"/>
      <c r="I56" s="53"/>
      <c r="J56" s="53"/>
      <c r="K56" s="147">
        <f>K38*Assumptions!B43</f>
        <v>3695.5125</v>
      </c>
      <c r="L56" s="113"/>
      <c r="M56" s="118"/>
    </row>
    <row r="57" spans="1:13" ht="15.75" customHeight="1">
      <c r="A57" s="33" t="s">
        <v>16</v>
      </c>
      <c r="B57" s="53"/>
      <c r="C57" s="53"/>
      <c r="D57" s="53"/>
      <c r="E57" s="53"/>
      <c r="F57" s="53"/>
      <c r="G57" s="53"/>
      <c r="H57" s="53"/>
      <c r="I57" s="53"/>
      <c r="J57" s="53"/>
      <c r="K57" s="147">
        <f>K38*Assumptions!B43/Assumptions!B47</f>
        <v>0.32218940714908456</v>
      </c>
      <c r="L57" s="114"/>
      <c r="M57" s="119"/>
    </row>
    <row r="58" spans="1:13" ht="15.75" customHeight="1">
      <c r="A58" s="33" t="s">
        <v>17</v>
      </c>
      <c r="B58" s="53"/>
      <c r="C58" s="53"/>
      <c r="D58" s="53"/>
      <c r="E58" s="53"/>
      <c r="F58" s="53"/>
      <c r="G58" s="53"/>
      <c r="H58" s="53"/>
      <c r="I58" s="53"/>
      <c r="J58" s="53"/>
      <c r="K58" s="147">
        <f>K38*Assumptions!B43/Assumptions!B46</f>
        <v>0.4581592486982395</v>
      </c>
      <c r="L58" s="114"/>
      <c r="M58" s="119"/>
    </row>
    <row r="59" spans="1:13" ht="15.75" customHeight="1">
      <c r="A59" s="95" t="s">
        <v>18</v>
      </c>
      <c r="B59" s="53"/>
      <c r="C59" s="53"/>
      <c r="D59" s="53"/>
      <c r="E59" s="53"/>
      <c r="F59" s="53"/>
      <c r="G59" s="53"/>
      <c r="H59" s="53"/>
      <c r="I59" s="53"/>
      <c r="J59" s="53"/>
      <c r="K59" s="148">
        <f>K41/(C22*C16)</f>
        <v>0.6802380201827818</v>
      </c>
      <c r="L59" s="115"/>
      <c r="M59" s="120"/>
    </row>
    <row r="60" spans="1:13" s="36" customFormat="1" ht="4.5" customHeight="1">
      <c r="A60" s="96"/>
      <c r="B60" s="34"/>
      <c r="C60" s="34"/>
      <c r="D60" s="34"/>
      <c r="E60" s="34"/>
      <c r="F60" s="34"/>
      <c r="G60" s="34"/>
      <c r="H60" s="34"/>
      <c r="I60" s="34"/>
      <c r="J60" s="34"/>
      <c r="K60" s="34"/>
      <c r="L60" s="34"/>
      <c r="M60" s="35"/>
    </row>
    <row r="61" s="36" customFormat="1" ht="15.75" customHeight="1">
      <c r="A61" s="52"/>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sheetData>
  <sheetProtection/>
  <mergeCells count="14">
    <mergeCell ref="B20:D20"/>
    <mergeCell ref="F20:H20"/>
    <mergeCell ref="J20:L20"/>
    <mergeCell ref="A27:M27"/>
    <mergeCell ref="A7:M7"/>
    <mergeCell ref="A8:M8"/>
    <mergeCell ref="A11:M11"/>
    <mergeCell ref="A14:M14"/>
    <mergeCell ref="A46:M46"/>
    <mergeCell ref="A49:M49"/>
    <mergeCell ref="B28:D28"/>
    <mergeCell ref="F28:H28"/>
    <mergeCell ref="J28:L28"/>
    <mergeCell ref="A45:M45"/>
  </mergeCells>
  <dataValidations count="2">
    <dataValidation type="decimal" operator="greaterThan" allowBlank="1" showInputMessage="1" showErrorMessage="1" error="Please enter a positive value.&#10;&#10;Thank you." sqref="C23 C22 C17 G23 G22">
      <formula1>0</formula1>
    </dataValidation>
    <dataValidation type="decimal" operator="greaterThan" allowBlank="1" showInputMessage="1" showErrorMessage="1" error="Please enter a positive value.&#10;&#10;Thank you." sqref="C16">
      <formula1>0</formula1>
    </dataValidation>
  </dataValidations>
  <printOptions horizontalCentered="1"/>
  <pageMargins left="1" right="1" top="0.5" bottom="0.5" header="0.25" footer="0.25"/>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dimension ref="A1:U155"/>
  <sheetViews>
    <sheetView zoomScale="85" zoomScaleNormal="85" zoomScaleSheetLayoutView="100" zoomScalePageLayoutView="0" workbookViewId="0" topLeftCell="A1">
      <selection activeCell="A25" sqref="A25"/>
    </sheetView>
  </sheetViews>
  <sheetFormatPr defaultColWidth="9.140625" defaultRowHeight="12.75"/>
  <cols>
    <col min="1" max="1" width="51.57421875" style="57" bestFit="1" customWidth="1"/>
    <col min="2" max="2" width="10.140625" style="80" bestFit="1" customWidth="1"/>
    <col min="3" max="3" width="12.28125" style="81" customWidth="1"/>
    <col min="4" max="4" width="59.8515625" style="75" customWidth="1"/>
    <col min="5" max="6" width="9.140625" style="172" customWidth="1"/>
    <col min="7" max="7" width="8.00390625" style="160" bestFit="1" customWidth="1"/>
    <col min="8" max="8" width="11.00390625" style="160" bestFit="1" customWidth="1"/>
    <col min="9" max="10" width="9.140625" style="160" customWidth="1"/>
    <col min="11" max="21" width="9.140625" style="57" customWidth="1"/>
    <col min="22" max="16384" width="9.140625" style="58" customWidth="1"/>
  </cols>
  <sheetData>
    <row r="1" spans="1:9" ht="15.75">
      <c r="A1" s="183" t="s">
        <v>75</v>
      </c>
      <c r="B1" s="184"/>
      <c r="C1" s="184"/>
      <c r="D1" s="185"/>
      <c r="E1" s="167"/>
      <c r="F1" s="167"/>
      <c r="G1" s="161"/>
      <c r="H1" s="161"/>
      <c r="I1" s="161"/>
    </row>
    <row r="2" spans="1:9" ht="15.75">
      <c r="A2" s="103"/>
      <c r="B2" s="59"/>
      <c r="C2" s="59"/>
      <c r="D2" s="104"/>
      <c r="E2" s="167"/>
      <c r="F2" s="167"/>
      <c r="G2" s="161"/>
      <c r="H2" s="161"/>
      <c r="I2" s="161"/>
    </row>
    <row r="3" spans="1:21" s="151" customFormat="1" ht="15">
      <c r="A3" s="83" t="s">
        <v>19</v>
      </c>
      <c r="B3" s="186" t="s">
        <v>20</v>
      </c>
      <c r="C3" s="186"/>
      <c r="D3" s="149" t="s">
        <v>21</v>
      </c>
      <c r="E3" s="168">
        <v>1</v>
      </c>
      <c r="F3" s="168"/>
      <c r="G3" s="162"/>
      <c r="H3" s="162"/>
      <c r="I3" s="162"/>
      <c r="J3" s="163"/>
      <c r="K3" s="150"/>
      <c r="L3" s="150"/>
      <c r="M3" s="150"/>
      <c r="N3" s="150"/>
      <c r="O3" s="150"/>
      <c r="P3" s="150"/>
      <c r="Q3" s="150"/>
      <c r="R3" s="150"/>
      <c r="S3" s="150"/>
      <c r="T3" s="150"/>
      <c r="U3" s="150"/>
    </row>
    <row r="4" spans="1:9" ht="15">
      <c r="A4" s="88" t="s">
        <v>22</v>
      </c>
      <c r="B4" s="60"/>
      <c r="C4" s="61"/>
      <c r="D4" s="62"/>
      <c r="E4" s="169"/>
      <c r="F4" s="170"/>
      <c r="G4" s="159"/>
      <c r="H4" s="159"/>
      <c r="I4" s="158"/>
    </row>
    <row r="5" spans="1:9" ht="12.75">
      <c r="A5" s="63" t="s">
        <v>3</v>
      </c>
      <c r="B5" s="64"/>
      <c r="C5" s="55"/>
      <c r="D5" s="56"/>
      <c r="E5" s="169"/>
      <c r="F5" s="170" t="s">
        <v>54</v>
      </c>
      <c r="G5" s="159"/>
      <c r="H5" s="159"/>
      <c r="I5" s="158"/>
    </row>
    <row r="6" spans="1:9" ht="12.75">
      <c r="A6" s="99" t="s">
        <v>50</v>
      </c>
      <c r="B6" s="69">
        <v>200</v>
      </c>
      <c r="C6" s="55"/>
      <c r="D6" s="56" t="s">
        <v>89</v>
      </c>
      <c r="E6" s="169"/>
      <c r="F6" s="171" t="s">
        <v>55</v>
      </c>
      <c r="G6" s="159"/>
      <c r="H6" s="159"/>
      <c r="I6" s="158"/>
    </row>
    <row r="7" spans="1:9" ht="12.75">
      <c r="A7" s="86" t="s">
        <v>71</v>
      </c>
      <c r="B7" s="139"/>
      <c r="C7" s="140"/>
      <c r="D7" s="56"/>
      <c r="E7" s="169"/>
      <c r="F7" s="171" t="s">
        <v>56</v>
      </c>
      <c r="G7" s="159"/>
      <c r="H7" s="159"/>
      <c r="I7" s="158"/>
    </row>
    <row r="8" spans="1:9" ht="12.75">
      <c r="A8" s="86"/>
      <c r="B8" s="156">
        <v>2</v>
      </c>
      <c r="C8" s="157" t="s">
        <v>83</v>
      </c>
      <c r="D8" s="105" t="s">
        <v>84</v>
      </c>
      <c r="E8" s="169"/>
      <c r="F8" s="171" t="s">
        <v>57</v>
      </c>
      <c r="G8" s="159"/>
      <c r="H8" s="159"/>
      <c r="I8" s="158"/>
    </row>
    <row r="9" spans="1:9" ht="12.75">
      <c r="A9" s="58"/>
      <c r="B9" s="165">
        <f>B8*1000/24/B33</f>
        <v>0.228310502283105</v>
      </c>
      <c r="C9" s="157" t="s">
        <v>85</v>
      </c>
      <c r="D9" s="105" t="s">
        <v>87</v>
      </c>
      <c r="E9" s="169"/>
      <c r="F9" s="171" t="s">
        <v>58</v>
      </c>
      <c r="G9" s="159"/>
      <c r="H9" s="159"/>
      <c r="I9" s="158"/>
    </row>
    <row r="10" spans="1:9" ht="12.75">
      <c r="A10" s="141" t="s">
        <v>63</v>
      </c>
      <c r="B10" s="166">
        <f>75/$B$9</f>
        <v>328.5</v>
      </c>
      <c r="C10" s="157" t="s">
        <v>86</v>
      </c>
      <c r="D10" s="105" t="s">
        <v>87</v>
      </c>
      <c r="E10" s="169"/>
      <c r="F10" s="171"/>
      <c r="G10" s="159"/>
      <c r="H10" s="159"/>
      <c r="I10" s="158"/>
    </row>
    <row r="11" spans="1:9" ht="12.75">
      <c r="A11" s="141" t="s">
        <v>64</v>
      </c>
      <c r="B11" s="166">
        <f>125/$B$9</f>
        <v>547.5</v>
      </c>
      <c r="C11" s="157" t="s">
        <v>86</v>
      </c>
      <c r="D11" s="105" t="s">
        <v>87</v>
      </c>
      <c r="E11" s="169"/>
      <c r="F11" s="171"/>
      <c r="G11" s="159"/>
      <c r="H11" s="159"/>
      <c r="I11" s="158"/>
    </row>
    <row r="12" spans="1:9" ht="12.75">
      <c r="A12" s="141" t="s">
        <v>65</v>
      </c>
      <c r="B12" s="166">
        <f>175/$B$9</f>
        <v>766.5</v>
      </c>
      <c r="C12" s="157" t="s">
        <v>86</v>
      </c>
      <c r="D12" s="105" t="s">
        <v>87</v>
      </c>
      <c r="E12" s="169"/>
      <c r="F12" s="171"/>
      <c r="G12" s="159"/>
      <c r="H12" s="159"/>
      <c r="I12" s="158"/>
    </row>
    <row r="13" spans="1:9" ht="12.75">
      <c r="A13" s="141" t="s">
        <v>66</v>
      </c>
      <c r="B13" s="166">
        <f>225/$B$9</f>
        <v>985.5</v>
      </c>
      <c r="C13" s="157" t="s">
        <v>86</v>
      </c>
      <c r="D13" s="105" t="s">
        <v>87</v>
      </c>
      <c r="E13" s="169"/>
      <c r="F13" s="171"/>
      <c r="G13" s="159"/>
      <c r="H13" s="159"/>
      <c r="I13" s="158"/>
    </row>
    <row r="14" spans="1:9" ht="12.75">
      <c r="A14" s="141" t="s">
        <v>67</v>
      </c>
      <c r="B14" s="166">
        <f>275/$B$9</f>
        <v>1204.5</v>
      </c>
      <c r="C14" s="157" t="s">
        <v>86</v>
      </c>
      <c r="D14" s="105" t="s">
        <v>87</v>
      </c>
      <c r="E14" s="169"/>
      <c r="F14" s="171"/>
      <c r="G14" s="159"/>
      <c r="H14" s="159"/>
      <c r="I14" s="158"/>
    </row>
    <row r="15" spans="1:4" ht="12.75">
      <c r="A15" s="90" t="s">
        <v>37</v>
      </c>
      <c r="B15" s="64">
        <v>9</v>
      </c>
      <c r="C15" s="136" t="s">
        <v>23</v>
      </c>
      <c r="D15" s="105" t="s">
        <v>88</v>
      </c>
    </row>
    <row r="16" spans="1:4" ht="12.75">
      <c r="A16" s="90"/>
      <c r="B16" s="64"/>
      <c r="C16" s="136"/>
      <c r="D16" s="56"/>
    </row>
    <row r="17" spans="1:4" ht="12.75">
      <c r="A17" s="82" t="s">
        <v>4</v>
      </c>
      <c r="B17" s="64"/>
      <c r="C17" s="136"/>
      <c r="D17" s="56"/>
    </row>
    <row r="18" spans="1:4" ht="12.75">
      <c r="A18" s="99" t="s">
        <v>50</v>
      </c>
      <c r="B18" s="69">
        <v>143</v>
      </c>
      <c r="C18" s="136"/>
      <c r="D18" s="56" t="s">
        <v>89</v>
      </c>
    </row>
    <row r="19" spans="1:9" ht="12.75">
      <c r="A19" s="86" t="s">
        <v>71</v>
      </c>
      <c r="B19" s="139"/>
      <c r="C19" s="140"/>
      <c r="D19" s="56"/>
      <c r="E19" s="169"/>
      <c r="F19" s="171"/>
      <c r="G19" s="159"/>
      <c r="H19" s="159"/>
      <c r="I19" s="158"/>
    </row>
    <row r="20" spans="1:4" ht="12.75">
      <c r="A20" s="141" t="s">
        <v>63</v>
      </c>
      <c r="B20" s="76">
        <v>596</v>
      </c>
      <c r="C20" s="75" t="s">
        <v>68</v>
      </c>
      <c r="D20" s="105" t="s">
        <v>88</v>
      </c>
    </row>
    <row r="21" spans="1:9" ht="12.75">
      <c r="A21" s="141" t="s">
        <v>64</v>
      </c>
      <c r="B21" s="76">
        <v>1072</v>
      </c>
      <c r="C21" s="75" t="s">
        <v>68</v>
      </c>
      <c r="D21" s="105" t="s">
        <v>88</v>
      </c>
      <c r="E21" s="169"/>
      <c r="F21" s="169"/>
      <c r="G21" s="158"/>
      <c r="H21" s="158"/>
      <c r="I21" s="158"/>
    </row>
    <row r="22" spans="1:21" s="75" customFormat="1" ht="12.75">
      <c r="A22" s="141" t="s">
        <v>65</v>
      </c>
      <c r="B22" s="76">
        <v>1480</v>
      </c>
      <c r="C22" s="75" t="s">
        <v>68</v>
      </c>
      <c r="D22" s="105" t="s">
        <v>88</v>
      </c>
      <c r="E22" s="169"/>
      <c r="F22" s="169"/>
      <c r="G22" s="158"/>
      <c r="H22" s="158"/>
      <c r="I22" s="158"/>
      <c r="J22" s="158"/>
      <c r="K22" s="74"/>
      <c r="L22" s="74"/>
      <c r="M22" s="74"/>
      <c r="N22" s="74"/>
      <c r="O22" s="74"/>
      <c r="P22" s="74"/>
      <c r="Q22" s="74"/>
      <c r="R22" s="74"/>
      <c r="S22" s="74"/>
      <c r="T22" s="74"/>
      <c r="U22" s="74"/>
    </row>
    <row r="23" spans="1:21" s="75" customFormat="1" ht="12.75">
      <c r="A23" s="141" t="s">
        <v>66</v>
      </c>
      <c r="B23" s="142">
        <v>1887</v>
      </c>
      <c r="C23" s="58" t="s">
        <v>68</v>
      </c>
      <c r="D23" s="105" t="s">
        <v>88</v>
      </c>
      <c r="E23" s="169"/>
      <c r="F23" s="169"/>
      <c r="G23" s="158"/>
      <c r="H23" s="158"/>
      <c r="I23" s="158"/>
      <c r="J23" s="158"/>
      <c r="K23" s="74"/>
      <c r="L23" s="74"/>
      <c r="M23" s="74"/>
      <c r="N23" s="74"/>
      <c r="O23" s="74"/>
      <c r="P23" s="74"/>
      <c r="Q23" s="74"/>
      <c r="R23" s="74"/>
      <c r="S23" s="74"/>
      <c r="T23" s="74"/>
      <c r="U23" s="74"/>
    </row>
    <row r="24" spans="1:21" s="75" customFormat="1" ht="12.75">
      <c r="A24" s="141" t="s">
        <v>67</v>
      </c>
      <c r="B24" s="142">
        <v>1641</v>
      </c>
      <c r="C24" s="58" t="s">
        <v>68</v>
      </c>
      <c r="D24" s="105" t="s">
        <v>88</v>
      </c>
      <c r="E24" s="172"/>
      <c r="F24" s="172"/>
      <c r="G24" s="160"/>
      <c r="H24" s="160"/>
      <c r="I24" s="160"/>
      <c r="J24" s="158"/>
      <c r="K24" s="74"/>
      <c r="L24" s="74"/>
      <c r="M24" s="74"/>
      <c r="N24" s="74"/>
      <c r="O24" s="74"/>
      <c r="P24" s="74"/>
      <c r="Q24" s="74"/>
      <c r="R24" s="74"/>
      <c r="S24" s="74"/>
      <c r="T24" s="74"/>
      <c r="U24" s="74"/>
    </row>
    <row r="25" spans="1:4" ht="12.75">
      <c r="A25" s="90" t="s">
        <v>37</v>
      </c>
      <c r="B25" s="64">
        <v>9</v>
      </c>
      <c r="C25" s="55" t="s">
        <v>23</v>
      </c>
      <c r="D25" s="105" t="s">
        <v>88</v>
      </c>
    </row>
    <row r="26" spans="1:4" ht="12.75">
      <c r="A26" s="90"/>
      <c r="B26" s="67"/>
      <c r="C26" s="65"/>
      <c r="D26" s="56"/>
    </row>
    <row r="27" spans="1:4" ht="15">
      <c r="A27" s="84" t="s">
        <v>24</v>
      </c>
      <c r="B27" s="66"/>
      <c r="C27" s="68"/>
      <c r="D27" s="56"/>
    </row>
    <row r="28" spans="1:4" ht="12.75">
      <c r="A28" s="99" t="s">
        <v>29</v>
      </c>
      <c r="B28" s="69">
        <v>20</v>
      </c>
      <c r="C28" s="55"/>
      <c r="D28" s="56" t="s">
        <v>40</v>
      </c>
    </row>
    <row r="29" spans="1:4" ht="38.25">
      <c r="A29" s="154" t="s">
        <v>38</v>
      </c>
      <c r="B29" s="152">
        <v>0</v>
      </c>
      <c r="C29" s="153"/>
      <c r="D29" s="71" t="s">
        <v>74</v>
      </c>
    </row>
    <row r="30" spans="1:4" ht="12.75">
      <c r="A30" s="99"/>
      <c r="B30" s="102"/>
      <c r="C30" s="55"/>
      <c r="D30" s="137"/>
    </row>
    <row r="31" spans="1:4" ht="15">
      <c r="A31" s="84" t="s">
        <v>25</v>
      </c>
      <c r="B31" s="64"/>
      <c r="C31" s="55"/>
      <c r="D31" s="56"/>
    </row>
    <row r="32" spans="1:4" ht="12.75">
      <c r="A32" s="100" t="s">
        <v>53</v>
      </c>
      <c r="B32" s="128">
        <v>12</v>
      </c>
      <c r="C32" s="65" t="s">
        <v>72</v>
      </c>
      <c r="D32" s="56" t="s">
        <v>61</v>
      </c>
    </row>
    <row r="33" spans="1:4" ht="12.75">
      <c r="A33" s="100" t="s">
        <v>60</v>
      </c>
      <c r="B33" s="128">
        <v>365</v>
      </c>
      <c r="C33" s="65" t="s">
        <v>73</v>
      </c>
      <c r="D33" s="56" t="s">
        <v>61</v>
      </c>
    </row>
    <row r="34" spans="1:4" ht="12.75">
      <c r="A34" s="90"/>
      <c r="B34" s="64"/>
      <c r="C34" s="55"/>
      <c r="D34" s="105"/>
    </row>
    <row r="35" spans="1:4" ht="15">
      <c r="A35" s="83" t="s">
        <v>26</v>
      </c>
      <c r="B35" s="64"/>
      <c r="C35" s="55"/>
      <c r="D35" s="56"/>
    </row>
    <row r="36" spans="1:4" ht="38.25">
      <c r="A36" s="89" t="s">
        <v>27</v>
      </c>
      <c r="B36" s="70">
        <v>0.04</v>
      </c>
      <c r="C36" s="55"/>
      <c r="D36" s="71" t="s">
        <v>28</v>
      </c>
    </row>
    <row r="37" spans="1:4" ht="12.75">
      <c r="A37" s="72"/>
      <c r="B37" s="73"/>
      <c r="C37" s="55"/>
      <c r="D37" s="56"/>
    </row>
    <row r="38" spans="1:4" ht="15">
      <c r="A38" s="85" t="s">
        <v>80</v>
      </c>
      <c r="B38" s="73"/>
      <c r="C38" s="55"/>
      <c r="D38" s="56"/>
    </row>
    <row r="39" spans="1:4" ht="12.75">
      <c r="A39" s="86" t="s">
        <v>78</v>
      </c>
      <c r="B39" s="155">
        <v>0.09039</v>
      </c>
      <c r="C39" s="55" t="s">
        <v>42</v>
      </c>
      <c r="D39" s="56" t="s">
        <v>81</v>
      </c>
    </row>
    <row r="40" spans="1:4" ht="12.75">
      <c r="A40" s="86" t="s">
        <v>79</v>
      </c>
      <c r="B40" s="155">
        <v>0.09706</v>
      </c>
      <c r="C40" s="55" t="s">
        <v>42</v>
      </c>
      <c r="D40" s="56" t="s">
        <v>81</v>
      </c>
    </row>
    <row r="41" spans="1:4" ht="12.75">
      <c r="A41" s="86"/>
      <c r="B41" s="73"/>
      <c r="C41" s="55"/>
      <c r="D41" s="56"/>
    </row>
    <row r="42" spans="1:4" ht="15">
      <c r="A42" s="85" t="s">
        <v>39</v>
      </c>
      <c r="B42" s="73"/>
      <c r="C42" s="55"/>
      <c r="D42" s="56"/>
    </row>
    <row r="43" spans="1:4" ht="15.75">
      <c r="A43" s="86" t="s">
        <v>77</v>
      </c>
      <c r="B43" s="73">
        <v>1.535</v>
      </c>
      <c r="C43" s="55" t="s">
        <v>43</v>
      </c>
      <c r="D43" s="56" t="s">
        <v>76</v>
      </c>
    </row>
    <row r="44" spans="1:4" ht="12.75">
      <c r="A44" s="56"/>
      <c r="B44" s="73"/>
      <c r="C44" s="55"/>
      <c r="D44" s="56"/>
    </row>
    <row r="45" spans="1:4" ht="16.5">
      <c r="A45" s="85" t="s">
        <v>32</v>
      </c>
      <c r="B45" s="76"/>
      <c r="C45" s="55"/>
      <c r="D45" s="56"/>
    </row>
    <row r="46" spans="1:4" ht="15.75">
      <c r="A46" s="86" t="s">
        <v>30</v>
      </c>
      <c r="B46" s="76">
        <v>8066</v>
      </c>
      <c r="C46" s="55" t="s">
        <v>48</v>
      </c>
      <c r="D46" s="56" t="s">
        <v>40</v>
      </c>
    </row>
    <row r="47" spans="1:4" ht="15.75">
      <c r="A47" s="87" t="s">
        <v>31</v>
      </c>
      <c r="B47" s="78">
        <v>11470</v>
      </c>
      <c r="C47" s="79" t="s">
        <v>48</v>
      </c>
      <c r="D47" s="77" t="s">
        <v>40</v>
      </c>
    </row>
    <row r="49" spans="1:4" ht="12.75" customHeight="1">
      <c r="A49" s="143" t="s">
        <v>69</v>
      </c>
      <c r="B49" s="144" t="s">
        <v>70</v>
      </c>
      <c r="D49" s="81"/>
    </row>
    <row r="50" spans="1:4" ht="12.75" customHeight="1">
      <c r="A50" s="143"/>
      <c r="B50" s="144"/>
      <c r="D50" s="81"/>
    </row>
    <row r="51" ht="12.75">
      <c r="A51" s="57" t="s">
        <v>82</v>
      </c>
    </row>
    <row r="133" spans="5:9" ht="12.75">
      <c r="E133" s="173"/>
      <c r="F133" s="173"/>
      <c r="G133" s="164"/>
      <c r="H133" s="164"/>
      <c r="I133" s="164"/>
    </row>
    <row r="138" ht="12.75" customHeight="1"/>
    <row r="142" ht="12.75" customHeight="1"/>
    <row r="144" ht="24.75" customHeight="1"/>
    <row r="145" spans="5:9" ht="12.75">
      <c r="E145" s="169"/>
      <c r="F145" s="169"/>
      <c r="G145" s="158"/>
      <c r="H145" s="158"/>
      <c r="I145" s="158"/>
    </row>
    <row r="146" spans="1:21" s="75" customFormat="1" ht="12.75">
      <c r="A146" s="57"/>
      <c r="B146" s="80"/>
      <c r="C146" s="81"/>
      <c r="E146" s="169"/>
      <c r="F146" s="169"/>
      <c r="G146" s="158"/>
      <c r="H146" s="158"/>
      <c r="I146" s="158"/>
      <c r="J146" s="158"/>
      <c r="K146" s="74"/>
      <c r="L146" s="74"/>
      <c r="M146" s="74"/>
      <c r="N146" s="74"/>
      <c r="O146" s="74"/>
      <c r="P146" s="74"/>
      <c r="Q146" s="74"/>
      <c r="R146" s="74"/>
      <c r="S146" s="74"/>
      <c r="T146" s="74"/>
      <c r="U146" s="74"/>
    </row>
    <row r="147" spans="1:21" s="75" customFormat="1" ht="12.75">
      <c r="A147" s="57"/>
      <c r="B147" s="80"/>
      <c r="C147" s="81"/>
      <c r="E147" s="169"/>
      <c r="F147" s="169"/>
      <c r="G147" s="158"/>
      <c r="H147" s="158"/>
      <c r="I147" s="158"/>
      <c r="J147" s="158"/>
      <c r="K147" s="74"/>
      <c r="L147" s="74"/>
      <c r="M147" s="74"/>
      <c r="N147" s="74"/>
      <c r="O147" s="74"/>
      <c r="P147" s="74"/>
      <c r="Q147" s="74"/>
      <c r="R147" s="74"/>
      <c r="S147" s="74"/>
      <c r="T147" s="74"/>
      <c r="U147" s="74"/>
    </row>
    <row r="148" spans="1:21" s="75" customFormat="1" ht="12.75">
      <c r="A148" s="57"/>
      <c r="B148" s="80"/>
      <c r="C148" s="81"/>
      <c r="E148" s="169"/>
      <c r="F148" s="169"/>
      <c r="G148" s="158"/>
      <c r="H148" s="158"/>
      <c r="I148" s="158"/>
      <c r="J148" s="158"/>
      <c r="K148" s="74"/>
      <c r="L148" s="74"/>
      <c r="M148" s="74"/>
      <c r="N148" s="74"/>
      <c r="O148" s="74"/>
      <c r="P148" s="74"/>
      <c r="Q148" s="74"/>
      <c r="R148" s="74"/>
      <c r="S148" s="74"/>
      <c r="T148" s="74"/>
      <c r="U148" s="74"/>
    </row>
    <row r="149" spans="1:21" s="75" customFormat="1" ht="12.75">
      <c r="A149" s="57"/>
      <c r="B149" s="80"/>
      <c r="C149" s="81"/>
      <c r="E149" s="169"/>
      <c r="F149" s="169"/>
      <c r="G149" s="158"/>
      <c r="H149" s="158"/>
      <c r="I149" s="158"/>
      <c r="J149" s="158"/>
      <c r="K149" s="74"/>
      <c r="L149" s="74"/>
      <c r="M149" s="74"/>
      <c r="N149" s="74"/>
      <c r="O149" s="74"/>
      <c r="P149" s="74"/>
      <c r="Q149" s="74"/>
      <c r="R149" s="74"/>
      <c r="S149" s="74"/>
      <c r="T149" s="74"/>
      <c r="U149" s="74"/>
    </row>
    <row r="150" spans="1:21" s="75" customFormat="1" ht="12.75">
      <c r="A150" s="57"/>
      <c r="B150" s="80"/>
      <c r="C150" s="81"/>
      <c r="E150" s="169"/>
      <c r="F150" s="169"/>
      <c r="G150" s="158"/>
      <c r="H150" s="158"/>
      <c r="I150" s="158"/>
      <c r="J150" s="158"/>
      <c r="K150" s="74"/>
      <c r="L150" s="74"/>
      <c r="M150" s="74"/>
      <c r="N150" s="74"/>
      <c r="O150" s="74"/>
      <c r="P150" s="74"/>
      <c r="Q150" s="74"/>
      <c r="R150" s="74"/>
      <c r="S150" s="74"/>
      <c r="T150" s="74"/>
      <c r="U150" s="74"/>
    </row>
    <row r="151" spans="1:21" s="75" customFormat="1" ht="12.75">
      <c r="A151" s="57"/>
      <c r="B151" s="80"/>
      <c r="C151" s="81"/>
      <c r="E151" s="169"/>
      <c r="F151" s="169"/>
      <c r="G151" s="158"/>
      <c r="H151" s="158"/>
      <c r="I151" s="158"/>
      <c r="J151" s="158"/>
      <c r="K151" s="74"/>
      <c r="L151" s="74"/>
      <c r="M151" s="74"/>
      <c r="N151" s="74"/>
      <c r="O151" s="74"/>
      <c r="P151" s="74"/>
      <c r="Q151" s="74"/>
      <c r="R151" s="74"/>
      <c r="S151" s="74"/>
      <c r="T151" s="74"/>
      <c r="U151" s="74"/>
    </row>
    <row r="152" spans="1:21" s="75" customFormat="1" ht="12.75">
      <c r="A152" s="57"/>
      <c r="B152" s="80"/>
      <c r="C152" s="81"/>
      <c r="E152" s="169"/>
      <c r="F152" s="169"/>
      <c r="G152" s="158"/>
      <c r="H152" s="158"/>
      <c r="I152" s="158"/>
      <c r="J152" s="158"/>
      <c r="K152" s="74"/>
      <c r="L152" s="74"/>
      <c r="M152" s="74"/>
      <c r="N152" s="74"/>
      <c r="O152" s="74"/>
      <c r="P152" s="74"/>
      <c r="Q152" s="74"/>
      <c r="R152" s="74"/>
      <c r="S152" s="74"/>
      <c r="T152" s="74"/>
      <c r="U152" s="74"/>
    </row>
    <row r="153" spans="1:21" s="75" customFormat="1" ht="12.75">
      <c r="A153" s="57"/>
      <c r="B153" s="80"/>
      <c r="C153" s="81"/>
      <c r="E153" s="169"/>
      <c r="F153" s="169"/>
      <c r="G153" s="158"/>
      <c r="H153" s="158"/>
      <c r="I153" s="158"/>
      <c r="J153" s="158"/>
      <c r="K153" s="74"/>
      <c r="L153" s="74"/>
      <c r="M153" s="74"/>
      <c r="N153" s="74"/>
      <c r="O153" s="74"/>
      <c r="P153" s="74"/>
      <c r="Q153" s="74"/>
      <c r="R153" s="74"/>
      <c r="S153" s="74"/>
      <c r="T153" s="74"/>
      <c r="U153" s="74"/>
    </row>
    <row r="154" spans="1:21" s="75" customFormat="1" ht="12.75">
      <c r="A154" s="57"/>
      <c r="B154" s="80"/>
      <c r="C154" s="81"/>
      <c r="E154" s="169"/>
      <c r="F154" s="169"/>
      <c r="G154" s="158"/>
      <c r="H154" s="158"/>
      <c r="I154" s="158"/>
      <c r="J154" s="158"/>
      <c r="K154" s="74"/>
      <c r="L154" s="74"/>
      <c r="M154" s="74"/>
      <c r="N154" s="74"/>
      <c r="O154" s="74"/>
      <c r="P154" s="74"/>
      <c r="Q154" s="74"/>
      <c r="R154" s="74"/>
      <c r="S154" s="74"/>
      <c r="T154" s="74"/>
      <c r="U154" s="74"/>
    </row>
    <row r="155" spans="1:21" s="75" customFormat="1" ht="12.75">
      <c r="A155" s="57"/>
      <c r="B155" s="80"/>
      <c r="C155" s="81"/>
      <c r="E155" s="172"/>
      <c r="F155" s="172"/>
      <c r="G155" s="160"/>
      <c r="H155" s="160"/>
      <c r="I155" s="160"/>
      <c r="J155" s="158"/>
      <c r="K155" s="74"/>
      <c r="L155" s="74"/>
      <c r="M155" s="74"/>
      <c r="N155" s="74"/>
      <c r="O155" s="74"/>
      <c r="P155" s="74"/>
      <c r="Q155" s="74"/>
      <c r="R155" s="74"/>
      <c r="S155" s="74"/>
      <c r="T155" s="74"/>
      <c r="U155" s="74"/>
    </row>
  </sheetData>
  <sheetProtection/>
  <mergeCells count="2">
    <mergeCell ref="A1:D1"/>
    <mergeCell ref="B3:C3"/>
  </mergeCells>
  <hyperlinks>
    <hyperlink ref="B49" r:id="rId1" display="Escalcs@cadmusgroup.com"/>
  </hyperlinks>
  <printOptions horizontalCentered="1"/>
  <pageMargins left="0" right="0" top="0.5" bottom="0.5" header="0.5" footer="0"/>
  <pageSetup horizontalDpi="600" verticalDpi="600" orientation="landscape"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 </cp:lastModifiedBy>
  <cp:lastPrinted>2004-11-29T21:57:14Z</cp:lastPrinted>
  <dcterms:created xsi:type="dcterms:W3CDTF">2004-07-12T13:20:55Z</dcterms:created>
  <dcterms:modified xsi:type="dcterms:W3CDTF">2008-01-25T18:07:17Z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