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70" windowWidth="11355" windowHeight="5550" tabRatio="839" activeTab="0"/>
  </bookViews>
  <sheets>
    <sheet name="Dehumidifier Calculator" sheetId="1" r:id="rId1"/>
    <sheet name="Assumptions" sheetId="2" r:id="rId2"/>
  </sheets>
  <definedNames>
    <definedName name="_xlnm.Print_Area" localSheetId="1">'Assumptions'!$A$1:$D$51</definedName>
    <definedName name="_xlnm.Print_Area" localSheetId="0">'Dehumidifier Calculator'!$A$1:$M$55</definedName>
  </definedNames>
  <calcPr fullCalcOnLoad="1"/>
</workbook>
</file>

<file path=xl/sharedStrings.xml><?xml version="1.0" encoding="utf-8"?>
<sst xmlns="http://schemas.openxmlformats.org/spreadsheetml/2006/main" count="134" uniqueCount="87">
  <si>
    <t>Life Cycle Cost Estimate for</t>
  </si>
  <si>
    <t>Enter your own values in the gray boxes or use our default values.</t>
  </si>
  <si>
    <t>Number of units</t>
  </si>
  <si>
    <t>ENERGY STAR Qualified Unit</t>
  </si>
  <si>
    <t>Conventional Unit</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</si>
  <si>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</si>
  <si>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</si>
  <si>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</si>
  <si>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</si>
  <si>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</si>
  <si>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</si>
  <si>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</si>
  <si>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</si>
  <si>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</si>
  <si>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</si>
  <si>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</si>
  <si>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</si>
  <si>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</si>
  <si>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</si>
  <si>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</si>
  <si>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</si>
  <si>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</si>
  <si>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</si>
  <si>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</si>
  <si>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</si>
  <si>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</si>
  <si>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</si>
  <si>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</si>
  <si>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</si>
  <si>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</si>
  <si>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</si>
  <si>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</si>
  <si>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</si>
  <si>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</si>
  <si>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</si>
  <si>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</si>
  <si>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</si>
  <si>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</si>
  <si>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</si>
  <si>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</si>
  <si>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0"/>
      </rPr>
      <t>/kWh</t>
    </r>
  </si>
  <si>
    <t>Energy consumption (kWh)</t>
  </si>
  <si>
    <t>Energy costs</t>
  </si>
  <si>
    <t>Initial Cost per Unit (estimated retail price)</t>
  </si>
  <si>
    <r>
      <t>lbs CO</t>
    </r>
    <r>
      <rPr>
        <vertAlign val="subscript"/>
        <sz val="10"/>
        <rFont val="Univers"/>
        <family val="2"/>
      </rPr>
      <t>2</t>
    </r>
    <r>
      <rPr>
        <sz val="10"/>
        <rFont val="Univers"/>
        <family val="0"/>
      </rPr>
      <t>/year</t>
    </r>
  </si>
  <si>
    <t>Electric Rate ($/kWh)</t>
  </si>
  <si>
    <t>Energy and Water Prices</t>
  </si>
  <si>
    <t>Life cycle energy saved (kWh)</t>
  </si>
  <si>
    <t>Capacity (pints/day)</t>
  </si>
  <si>
    <t>Initial Cost Per Unit</t>
  </si>
  <si>
    <t>L/kWh</t>
  </si>
  <si>
    <t>Energy Factor</t>
  </si>
  <si>
    <t>Assumptions for Dehumidifiers</t>
  </si>
  <si>
    <t xml:space="preserve">For more information, please contact </t>
  </si>
  <si>
    <t>Escalcs@cadmusgroup.com</t>
  </si>
  <si>
    <t>Maintenance cost</t>
  </si>
  <si>
    <t>Maintenance</t>
  </si>
  <si>
    <t>Labor cost (per hour)</t>
  </si>
  <si>
    <t>Labor time (hours)</t>
  </si>
  <si>
    <t>Assumption</t>
  </si>
  <si>
    <t>1-25 Pints/day</t>
  </si>
  <si>
    <t>25-35 Pints/day</t>
  </si>
  <si>
    <t>35-45 Pints/day</t>
  </si>
  <si>
    <t>45-54 Pints/day</t>
  </si>
  <si>
    <t>54-75 Pints/day</t>
  </si>
  <si>
    <t>75-185 Pints/day</t>
  </si>
  <si>
    <t>EPA 2006</t>
  </si>
  <si>
    <t>Hours in use per year</t>
  </si>
  <si>
    <t>1-25</t>
  </si>
  <si>
    <t>25-35</t>
  </si>
  <si>
    <t>35-45</t>
  </si>
  <si>
    <t>45-54</t>
  </si>
  <si>
    <t>54-75</t>
  </si>
  <si>
    <t>75-185</t>
  </si>
  <si>
    <t>days/year</t>
  </si>
  <si>
    <t>.</t>
  </si>
  <si>
    <t>L/day</t>
  </si>
  <si>
    <t>Pints/day</t>
  </si>
  <si>
    <t>2006 Commercial Electricity Price</t>
  </si>
  <si>
    <t>2006 Residential Electricity Price</t>
  </si>
  <si>
    <t>hrs/year</t>
  </si>
  <si>
    <t>EIA 2004</t>
  </si>
  <si>
    <t>Maintenance costs</t>
  </si>
  <si>
    <t>EIA 2007</t>
  </si>
  <si>
    <t>Last updated 02/08</t>
  </si>
  <si>
    <t>LBNL 2007</t>
  </si>
  <si>
    <t>ENERGY STAR Specification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</si>
</sst>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_);[Red]\(#,##0.0000\)"/>
    <numFmt numFmtId="179" formatCode="0.0000"/>
    <numFmt numFmtId="180" formatCode="#,##0.000_);[Red]\(#,##0.000\)"/>
    <numFmt numFmtId="181" formatCode="&quot;$&quot;#,##0.0000"/>
  </numFmts>
  <fonts count="7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0"/>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b/>
      <sz val="11"/>
      <name val="Univers"/>
      <family val="2"/>
    </font>
    <font>
      <sz val="11"/>
      <name val="Univers"/>
      <family val="0"/>
    </font>
    <font>
      <u val="single"/>
      <sz val="10"/>
      <color indexed="12"/>
      <name val="Univers"/>
      <family val="2"/>
    </font>
    <font>
      <sz val="10"/>
      <color indexed="9"/>
      <name val="Univers"/>
      <family val="0"/>
    </font>
    <font>
      <sz val="11"/>
      <color indexed="10"/>
      <name val="univers"/>
      <family val="0"/>
    </font>
    <font>
      <sz val="10"/>
      <color indexed="10"/>
      <name val="Univers"/>
      <family val="0"/>
    </font>
    <font>
      <u val="single"/>
      <sz val="10"/>
      <color indexed="36"/>
      <name val="Arial"/>
      <family val="0"/>
    </font>
    <font>
      <b/>
      <sz val="12"/>
      <color indexed="10"/>
      <name val="univers"/>
      <family val="0"/>
    </font>
    <font>
      <b/>
      <sz val="12"/>
      <color indexed="9"/>
      <name val="univers"/>
      <family val="0"/>
    </font>
    <font>
      <i/>
      <sz val="10"/>
      <color indexed="10"/>
      <name val="univers"/>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10"/>
      <name val="Univers"/>
      <family val="2"/>
    </font>
    <font>
      <sz val="11"/>
      <color indexed="9"/>
      <name val="Univer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Univers"/>
      <family val="2"/>
    </font>
    <font>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3" fillId="34" borderId="17" xfId="0" applyFont="1" applyFill="1" applyBorder="1" applyAlignment="1" applyProtection="1">
      <alignment horizontal="center" wrapText="1"/>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0" fillId="0" borderId="11" xfId="0" applyFont="1" applyFill="1" applyBorder="1" applyAlignment="1" applyProtection="1">
      <alignment horizontal="lef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horizontal="left"/>
      <protection/>
    </xf>
    <xf numFmtId="0" fontId="12" fillId="0" borderId="11" xfId="0" applyFont="1" applyBorder="1" applyAlignment="1" applyProtection="1">
      <alignment/>
      <protection/>
    </xf>
    <xf numFmtId="0" fontId="12" fillId="0" borderId="18" xfId="0" applyFont="1" applyBorder="1" applyAlignment="1" applyProtection="1">
      <alignment horizontal="left"/>
      <protection/>
    </xf>
    <xf numFmtId="0" fontId="12"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2" fillId="0" borderId="19"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6" fillId="34" borderId="11" xfId="0" applyFont="1" applyFill="1" applyBorder="1" applyAlignment="1" applyProtection="1">
      <alignment/>
      <protection/>
    </xf>
    <xf numFmtId="0" fontId="12"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66" fontId="1" fillId="36" borderId="21" xfId="0" applyNumberFormat="1" applyFont="1" applyFill="1" applyBorder="1" applyAlignment="1" applyProtection="1">
      <alignment horizontal="right"/>
      <protection locked="0"/>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3" fontId="1" fillId="33" borderId="0" xfId="0" applyNumberFormat="1" applyFont="1" applyFill="1" applyBorder="1" applyAlignment="1" applyProtection="1">
      <alignmen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0" fontId="1" fillId="33" borderId="0"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1" xfId="0" applyFont="1" applyBorder="1" applyAlignment="1" applyProtection="1">
      <alignment horizontal="left" indent="2"/>
      <protection/>
    </xf>
    <xf numFmtId="0" fontId="1" fillId="0" borderId="11" xfId="0" applyFont="1" applyBorder="1" applyAlignment="1" applyProtection="1">
      <alignment horizontal="left" indent="3"/>
      <protection/>
    </xf>
    <xf numFmtId="0" fontId="1" fillId="0" borderId="0" xfId="0" applyFont="1" applyAlignment="1" applyProtection="1">
      <alignment/>
      <protection/>
    </xf>
    <xf numFmtId="177" fontId="1" fillId="36" borderId="21" xfId="0" applyNumberFormat="1" applyFont="1" applyFill="1" applyBorder="1" applyAlignment="1" applyProtection="1">
      <alignment/>
      <protection locked="0"/>
    </xf>
    <xf numFmtId="0" fontId="1" fillId="34" borderId="11" xfId="0" applyFont="1" applyFill="1" applyBorder="1" applyAlignment="1" applyProtection="1">
      <alignment horizontal="left"/>
      <protection/>
    </xf>
    <xf numFmtId="167" fontId="22" fillId="35" borderId="0" xfId="0" applyNumberFormat="1" applyFont="1" applyFill="1" applyBorder="1" applyAlignment="1" applyProtection="1">
      <alignment/>
      <protection/>
    </xf>
    <xf numFmtId="3" fontId="22" fillId="35" borderId="0" xfId="0" applyNumberFormat="1" applyFont="1" applyFill="1" applyBorder="1" applyAlignment="1" applyProtection="1">
      <alignment/>
      <protection/>
    </xf>
    <xf numFmtId="9" fontId="22" fillId="35" borderId="0" xfId="59" applyFont="1" applyFill="1" applyBorder="1" applyAlignment="1" applyProtection="1">
      <alignment/>
      <protection/>
    </xf>
    <xf numFmtId="168" fontId="22" fillId="35" borderId="0" xfId="0" applyNumberFormat="1" applyFont="1" applyFill="1" applyBorder="1" applyAlignment="1" applyProtection="1">
      <alignment/>
      <protection/>
    </xf>
    <xf numFmtId="0" fontId="12" fillId="0" borderId="15" xfId="0" applyFont="1" applyFill="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0" fillId="0" borderId="0" xfId="0" applyAlignment="1">
      <alignment/>
    </xf>
    <xf numFmtId="0" fontId="24" fillId="0" borderId="0" xfId="53" applyFont="1" applyAlignment="1" applyProtection="1">
      <alignment/>
      <protection/>
    </xf>
    <xf numFmtId="171" fontId="8" fillId="34" borderId="11" xfId="0" applyNumberFormat="1" applyFont="1" applyFill="1" applyBorder="1" applyAlignment="1" applyProtection="1">
      <alignment/>
      <protection/>
    </xf>
    <xf numFmtId="169" fontId="22" fillId="35" borderId="0" xfId="0" applyNumberFormat="1" applyFont="1" applyFill="1" applyBorder="1" applyAlignment="1" applyProtection="1">
      <alignment horizontal="right"/>
      <protection/>
    </xf>
    <xf numFmtId="0" fontId="25" fillId="0" borderId="0" xfId="0" applyFont="1" applyBorder="1" applyAlignment="1" applyProtection="1">
      <alignment/>
      <protection/>
    </xf>
    <xf numFmtId="1" fontId="2" fillId="0" borderId="11" xfId="0" applyNumberFormat="1" applyFont="1" applyFill="1" applyBorder="1" applyAlignment="1" applyProtection="1">
      <alignment/>
      <protection locked="0"/>
    </xf>
    <xf numFmtId="0" fontId="2" fillId="0" borderId="0" xfId="0" applyFont="1" applyFill="1" applyAlignment="1" applyProtection="1">
      <alignment horizontal="left"/>
      <protection/>
    </xf>
    <xf numFmtId="1" fontId="2" fillId="0" borderId="0" xfId="0" applyNumberFormat="1" applyFont="1" applyFill="1" applyBorder="1" applyAlignment="1" applyProtection="1">
      <alignment/>
      <protection locked="0"/>
    </xf>
    <xf numFmtId="0" fontId="26" fillId="0" borderId="0" xfId="0" applyFont="1" applyBorder="1" applyAlignment="1" applyProtection="1">
      <alignment/>
      <protection/>
    </xf>
    <xf numFmtId="0" fontId="27" fillId="0" borderId="0" xfId="0" applyFont="1" applyBorder="1" applyAlignment="1" applyProtection="1">
      <alignment/>
      <protection/>
    </xf>
    <xf numFmtId="168" fontId="22" fillId="34" borderId="0" xfId="0" applyNumberFormat="1" applyFont="1" applyFill="1" applyBorder="1" applyAlignment="1" applyProtection="1">
      <alignment horizontal="right"/>
      <protection/>
    </xf>
    <xf numFmtId="0" fontId="1" fillId="34" borderId="11" xfId="0"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3" fontId="1" fillId="34" borderId="0" xfId="0" applyNumberFormat="1" applyFont="1" applyFill="1" applyBorder="1" applyAlignment="1" applyProtection="1">
      <alignment horizontal="right" indent="1"/>
      <protection/>
    </xf>
    <xf numFmtId="3" fontId="1" fillId="34" borderId="0" xfId="0" applyNumberFormat="1" applyFont="1" applyFill="1" applyBorder="1" applyAlignment="1" applyProtection="1">
      <alignment/>
      <protection/>
    </xf>
    <xf numFmtId="0" fontId="29" fillId="0" borderId="0" xfId="0" applyFont="1" applyBorder="1" applyAlignment="1" applyProtection="1">
      <alignment/>
      <protection/>
    </xf>
    <xf numFmtId="0" fontId="1" fillId="0" borderId="11" xfId="0" applyNumberFormat="1" applyFont="1" applyFill="1" applyBorder="1" applyAlignment="1" applyProtection="1">
      <alignment horizontal="right"/>
      <protection/>
    </xf>
    <xf numFmtId="40" fontId="1" fillId="0" borderId="11" xfId="0" applyNumberFormat="1" applyFont="1" applyFill="1" applyBorder="1" applyAlignment="1" applyProtection="1">
      <alignment horizontal="right"/>
      <protection/>
    </xf>
    <xf numFmtId="0" fontId="30" fillId="0" borderId="0" xfId="0" applyFont="1" applyBorder="1" applyAlignment="1" applyProtection="1">
      <alignment/>
      <protection/>
    </xf>
    <xf numFmtId="0" fontId="25" fillId="0" borderId="0" xfId="0" applyFont="1" applyBorder="1" applyAlignment="1" applyProtection="1">
      <alignment horizontal="center"/>
      <protection/>
    </xf>
    <xf numFmtId="181" fontId="1" fillId="0" borderId="0" xfId="0" applyNumberFormat="1" applyFont="1" applyFill="1" applyBorder="1" applyAlignment="1" applyProtection="1">
      <alignment horizontal="right"/>
      <protection/>
    </xf>
    <xf numFmtId="178" fontId="27" fillId="0" borderId="0" xfId="0" applyNumberFormat="1" applyFont="1" applyFill="1" applyBorder="1" applyAlignment="1" applyProtection="1">
      <alignment horizontal="left"/>
      <protection/>
    </xf>
    <xf numFmtId="0" fontId="31" fillId="0" borderId="0" xfId="0" applyFont="1" applyAlignment="1" applyProtection="1">
      <alignment/>
      <protection/>
    </xf>
    <xf numFmtId="0" fontId="19" fillId="0" borderId="0" xfId="0" applyFont="1" applyAlignment="1" applyProtection="1">
      <alignment horizontal="left"/>
      <protection/>
    </xf>
    <xf numFmtId="0" fontId="15" fillId="0" borderId="0" xfId="0" applyFont="1" applyAlignment="1">
      <alignment horizontal="center" wrapText="1"/>
    </xf>
    <xf numFmtId="0" fontId="12" fillId="34" borderId="22" xfId="0" applyFont="1" applyFill="1" applyBorder="1" applyAlignment="1" applyProtection="1">
      <alignment horizontal="center" wrapText="1"/>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0" fontId="12"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4"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2" fillId="0" borderId="14" xfId="0" applyFont="1" applyFill="1" applyBorder="1" applyAlignment="1" applyProtection="1">
      <alignment horizontal="center"/>
      <protection/>
    </xf>
    <xf numFmtId="0" fontId="50" fillId="0" borderId="0" xfId="0" applyFont="1" applyBorder="1" applyAlignment="1" applyProtection="1">
      <alignment horizontal="center"/>
      <protection/>
    </xf>
    <xf numFmtId="0" fontId="1" fillId="0" borderId="0" xfId="0" applyFont="1" applyBorder="1" applyAlignment="1" applyProtection="1">
      <alignment/>
      <protection/>
    </xf>
    <xf numFmtId="0" fontId="69" fillId="0" borderId="0" xfId="0" applyFont="1" applyFill="1" applyBorder="1" applyAlignment="1" applyProtection="1">
      <alignment/>
      <protection/>
    </xf>
    <xf numFmtId="0" fontId="69" fillId="0" borderId="0" xfId="0" applyFont="1" applyBorder="1" applyAlignment="1" applyProtection="1">
      <alignment horizontal="center"/>
      <protection/>
    </xf>
    <xf numFmtId="0" fontId="70" fillId="0" borderId="0" xfId="0" applyFont="1" applyBorder="1" applyAlignment="1" applyProtection="1">
      <alignment/>
      <protection/>
    </xf>
    <xf numFmtId="0" fontId="70" fillId="0" borderId="0" xfId="0" applyNumberFormat="1" applyFont="1" applyFill="1" applyBorder="1" applyAlignment="1" applyProtection="1">
      <alignment horizontal="center"/>
      <protection locked="0"/>
    </xf>
    <xf numFmtId="49" fontId="70" fillId="0" borderId="0" xfId="0" applyNumberFormat="1" applyFont="1" applyFill="1" applyBorder="1" applyAlignment="1" applyProtection="1">
      <alignment horizontal="center"/>
      <protection locked="0"/>
    </xf>
    <xf numFmtId="0" fontId="70" fillId="0" borderId="0" xfId="0" applyNumberFormat="1" applyFont="1" applyBorder="1" applyAlignment="1" applyProtection="1">
      <alignment horizontal="center"/>
      <protection/>
    </xf>
    <xf numFmtId="49" fontId="70" fillId="0" borderId="0" xfId="0" applyNumberFormat="1" applyFont="1" applyBorder="1" applyAlignment="1" applyProtection="1">
      <alignment horizontal="center"/>
      <protection/>
    </xf>
    <xf numFmtId="0" fontId="70" fillId="0" borderId="0" xfId="0" applyNumberFormat="1" applyFont="1" applyFill="1" applyBorder="1" applyAlignment="1" applyProtection="1">
      <alignment horizontal="center"/>
      <protection/>
    </xf>
    <xf numFmtId="49" fontId="70" fillId="0" borderId="0" xfId="0" applyNumberFormat="1" applyFont="1" applyFill="1" applyBorder="1" applyAlignment="1" applyProtection="1">
      <alignment horizontal="center"/>
      <protection/>
    </xf>
    <xf numFmtId="0" fontId="70"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56"/>
  <sheetViews>
    <sheetView tabSelected="1" zoomScale="85" zoomScaleNormal="85" zoomScalePageLayoutView="0" workbookViewId="0" topLeftCell="A1">
      <selection activeCell="P12" sqref="P12"/>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7" t="s">
        <v>0</v>
      </c>
      <c r="B7" s="167"/>
      <c r="C7" s="167"/>
      <c r="D7" s="167"/>
      <c r="E7" s="167"/>
      <c r="F7" s="167"/>
      <c r="G7" s="167"/>
      <c r="H7" s="167"/>
      <c r="I7" s="167"/>
      <c r="J7" s="167"/>
      <c r="K7" s="167"/>
      <c r="L7" s="167"/>
      <c r="M7" s="167"/>
    </row>
    <row r="8" spans="1:13" ht="15.75" customHeight="1">
      <c r="A8" s="167" t="str">
        <f>""&amp;C15&amp;" ENERGY STAR Qualified Dehumidifier(s)"</f>
        <v>1 ENERGY STAR Qualified Dehumidifier(s)</v>
      </c>
      <c r="B8" s="167"/>
      <c r="C8" s="167"/>
      <c r="D8" s="167"/>
      <c r="E8" s="167"/>
      <c r="F8" s="167"/>
      <c r="G8" s="167"/>
      <c r="H8" s="167"/>
      <c r="I8" s="167"/>
      <c r="J8" s="167"/>
      <c r="K8" s="167"/>
      <c r="L8" s="167"/>
      <c r="M8" s="167"/>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68" t="s">
        <v>37</v>
      </c>
      <c r="B11" s="168"/>
      <c r="C11" s="168"/>
      <c r="D11" s="168"/>
      <c r="E11" s="168"/>
      <c r="F11" s="168"/>
      <c r="G11" s="168"/>
      <c r="H11" s="168"/>
      <c r="I11" s="168"/>
      <c r="J11" s="168"/>
      <c r="K11" s="168"/>
      <c r="L11" s="168"/>
      <c r="M11" s="168"/>
    </row>
    <row r="12" ht="24.75" customHeight="1">
      <c r="A12" s="24"/>
    </row>
    <row r="13" spans="1:13" ht="15.75">
      <c r="A13" s="159" t="s">
        <v>1</v>
      </c>
      <c r="B13" s="159"/>
      <c r="C13" s="159"/>
      <c r="D13" s="159"/>
      <c r="E13" s="159"/>
      <c r="F13" s="159"/>
      <c r="G13" s="159"/>
      <c r="H13" s="159"/>
      <c r="I13" s="159"/>
      <c r="J13" s="159"/>
      <c r="K13" s="159"/>
      <c r="L13" s="159"/>
      <c r="M13" s="159"/>
    </row>
    <row r="14" spans="1:13" ht="4.5" customHeight="1" thickBot="1">
      <c r="A14" s="38"/>
      <c r="B14" s="39"/>
      <c r="C14" s="39"/>
      <c r="D14" s="39">
        <v>4</v>
      </c>
      <c r="E14" s="39"/>
      <c r="F14" s="39"/>
      <c r="G14" s="39"/>
      <c r="H14" s="39"/>
      <c r="I14" s="39"/>
      <c r="J14" s="39"/>
      <c r="K14" s="39"/>
      <c r="L14" s="39"/>
      <c r="M14" s="4"/>
    </row>
    <row r="15" spans="1:14" ht="15.75" customHeight="1" thickBot="1">
      <c r="A15" s="5" t="s">
        <v>2</v>
      </c>
      <c r="B15" s="6"/>
      <c r="C15" s="88">
        <v>1</v>
      </c>
      <c r="D15" s="7"/>
      <c r="E15" s="7"/>
      <c r="F15" s="7"/>
      <c r="G15" s="7"/>
      <c r="H15" s="7"/>
      <c r="I15" s="7"/>
      <c r="J15" s="7"/>
      <c r="K15" s="7"/>
      <c r="L15" s="7"/>
      <c r="M15" s="8"/>
      <c r="N15" s="9"/>
    </row>
    <row r="16" spans="1:13" ht="15.75" customHeight="1" thickBot="1">
      <c r="A16" s="10" t="s">
        <v>45</v>
      </c>
      <c r="B16" s="6"/>
      <c r="C16" s="125">
        <f>Assumptions!B40</f>
        <v>0.09706</v>
      </c>
      <c r="D16" s="7"/>
      <c r="E16" s="7"/>
      <c r="F16" s="7"/>
      <c r="G16" s="7"/>
      <c r="H16" s="7"/>
      <c r="I16" s="7"/>
      <c r="J16" s="7"/>
      <c r="K16" s="7"/>
      <c r="L16" s="7"/>
      <c r="M16" s="8"/>
    </row>
    <row r="17" spans="1:13" ht="17.25" customHeight="1">
      <c r="A17" s="5" t="s">
        <v>48</v>
      </c>
      <c r="B17" s="7"/>
      <c r="C17" s="119"/>
      <c r="D17" s="98"/>
      <c r="E17" s="98"/>
      <c r="F17" s="98"/>
      <c r="G17" s="118"/>
      <c r="H17" s="11"/>
      <c r="I17" s="11"/>
      <c r="J17" s="12"/>
      <c r="K17" s="7"/>
      <c r="L17" s="11"/>
      <c r="M17" s="8"/>
    </row>
    <row r="18" spans="1:13" ht="12" customHeight="1">
      <c r="A18" s="5"/>
      <c r="B18" s="7"/>
      <c r="C18" s="120"/>
      <c r="D18" s="36"/>
      <c r="E18" s="36"/>
      <c r="F18" s="36"/>
      <c r="G18" s="7"/>
      <c r="H18" s="7"/>
      <c r="I18" s="7"/>
      <c r="J18" s="7"/>
      <c r="K18" s="7"/>
      <c r="L18" s="7"/>
      <c r="M18" s="8"/>
    </row>
    <row r="19" spans="1:13" ht="27.75" customHeight="1">
      <c r="A19" s="48"/>
      <c r="B19" s="163" t="s">
        <v>3</v>
      </c>
      <c r="C19" s="163"/>
      <c r="D19" s="163"/>
      <c r="E19" s="41"/>
      <c r="F19" s="163" t="s">
        <v>4</v>
      </c>
      <c r="G19" s="163"/>
      <c r="H19" s="163"/>
      <c r="I19" s="41"/>
      <c r="J19" s="164"/>
      <c r="K19" s="164"/>
      <c r="L19" s="164"/>
      <c r="M19" s="8"/>
    </row>
    <row r="20" spans="1:13" ht="9.75" customHeight="1" thickBot="1">
      <c r="A20" s="40"/>
      <c r="B20" s="41"/>
      <c r="C20" s="41"/>
      <c r="D20" s="41"/>
      <c r="E20" s="41"/>
      <c r="F20" s="41"/>
      <c r="G20" s="91"/>
      <c r="H20" s="41"/>
      <c r="I20" s="41"/>
      <c r="J20" s="164"/>
      <c r="K20" s="164"/>
      <c r="L20" s="164"/>
      <c r="M20" s="8"/>
    </row>
    <row r="21" spans="1:13" ht="15.75" customHeight="1" thickBot="1">
      <c r="A21" s="5" t="s">
        <v>43</v>
      </c>
      <c r="B21" s="7"/>
      <c r="C21" s="94">
        <f>Assumptions!B6</f>
        <v>150</v>
      </c>
      <c r="D21" s="11"/>
      <c r="E21" s="11"/>
      <c r="F21" s="11"/>
      <c r="G21" s="94">
        <f>Assumptions!B17</f>
        <v>150</v>
      </c>
      <c r="H21" s="11"/>
      <c r="I21" s="41"/>
      <c r="J21" s="164"/>
      <c r="K21" s="164"/>
      <c r="L21" s="164"/>
      <c r="M21" s="8"/>
    </row>
    <row r="22" spans="1:13" ht="4.5" customHeight="1">
      <c r="A22" s="13"/>
      <c r="B22" s="14"/>
      <c r="C22" s="86"/>
      <c r="D22" s="14"/>
      <c r="E22" s="14"/>
      <c r="F22" s="14"/>
      <c r="G22" s="87"/>
      <c r="H22" s="14"/>
      <c r="I22" s="14"/>
      <c r="J22" s="14"/>
      <c r="K22" s="14"/>
      <c r="L22" s="14"/>
      <c r="M22" s="15"/>
    </row>
    <row r="23" spans="1:17" ht="24.75" customHeight="1">
      <c r="A23" s="165"/>
      <c r="B23" s="166"/>
      <c r="C23" s="166"/>
      <c r="D23" s="166"/>
      <c r="E23" s="166"/>
      <c r="F23" s="166"/>
      <c r="G23" s="166"/>
      <c r="H23" s="166"/>
      <c r="I23" s="166"/>
      <c r="J23" s="166"/>
      <c r="K23" s="166"/>
      <c r="L23" s="166"/>
      <c r="M23" s="166"/>
      <c r="Q23" s="1" t="s">
        <v>75</v>
      </c>
    </row>
    <row r="24" spans="1:13" ht="15.75">
      <c r="A24" s="159" t="str">
        <f>"Annual and Life Cycle Costs and Savings for "&amp;C15&amp;" Dehumidifier(s)"</f>
        <v>Annual and Life Cycle Costs and Savings for 1 Dehumidifier(s)</v>
      </c>
      <c r="B24" s="159"/>
      <c r="C24" s="159"/>
      <c r="D24" s="159"/>
      <c r="E24" s="159"/>
      <c r="F24" s="159"/>
      <c r="G24" s="159"/>
      <c r="H24" s="159"/>
      <c r="I24" s="159"/>
      <c r="J24" s="159"/>
      <c r="K24" s="159"/>
      <c r="L24" s="159"/>
      <c r="M24" s="159"/>
    </row>
    <row r="25" spans="1:13" ht="31.5" customHeight="1">
      <c r="A25" s="16"/>
      <c r="B25" s="160" t="str">
        <f>""&amp;C15&amp;" ENERGY STAR Qualified Unit(s)"</f>
        <v>1 ENERGY STAR Qualified Unit(s)</v>
      </c>
      <c r="C25" s="160"/>
      <c r="D25" s="160"/>
      <c r="E25" s="42"/>
      <c r="F25" s="160" t="str">
        <f>""&amp;C15&amp;" Conventional Unit(s)"</f>
        <v>1 Conventional Unit(s)</v>
      </c>
      <c r="G25" s="160"/>
      <c r="H25" s="160"/>
      <c r="I25" s="42"/>
      <c r="J25" s="160" t="s">
        <v>5</v>
      </c>
      <c r="K25" s="160"/>
      <c r="L25" s="160"/>
      <c r="M25" s="17"/>
    </row>
    <row r="26" spans="1:13" ht="15.75" customHeight="1">
      <c r="A26" s="84" t="s">
        <v>30</v>
      </c>
      <c r="B26" s="18"/>
      <c r="C26" s="18"/>
      <c r="D26" s="18"/>
      <c r="E26" s="18"/>
      <c r="F26" s="18"/>
      <c r="G26" s="18"/>
      <c r="H26" s="18"/>
      <c r="I26" s="18"/>
      <c r="J26" s="18"/>
      <c r="K26" s="18"/>
      <c r="L26" s="18"/>
      <c r="M26" s="19"/>
    </row>
    <row r="27" spans="1:13" ht="15.75" customHeight="1">
      <c r="A27" s="20" t="s">
        <v>6</v>
      </c>
      <c r="B27" s="18"/>
      <c r="C27" s="111">
        <f>C28*C16</f>
        <v>82.636884</v>
      </c>
      <c r="D27" s="18"/>
      <c r="E27" s="18"/>
      <c r="F27" s="18"/>
      <c r="G27" s="111">
        <f>G28*C16</f>
        <v>103.296105</v>
      </c>
      <c r="H27" s="18"/>
      <c r="I27" s="18"/>
      <c r="J27" s="18"/>
      <c r="K27" s="21">
        <f>G27-C27</f>
        <v>20.659221000000002</v>
      </c>
      <c r="L27" s="18"/>
      <c r="M27" s="19"/>
    </row>
    <row r="28" spans="1:13" s="3" customFormat="1" ht="15.75" customHeight="1" outlineLevel="1">
      <c r="A28" s="112" t="s">
        <v>41</v>
      </c>
      <c r="B28" s="113"/>
      <c r="C28" s="114">
        <f>$C$15*Assumptions!$B$28*(IF(Assumptions!$E$3=1,Assumptions!F4,IF(Assumptions!$E$3=2,Assumptions!F5,IF(Assumptions!$E$3=3,Assumptions!F6,IF(Assumptions!$E$3=4,Assumptions!F7,IF(Assumptions!$E$3=5,Assumptions!F8,Assumptions!F9))))))/(IF(Assumptions!$E$3=1,Assumptions!B8,IF(Assumptions!$E$3=2,Assumptions!B9,IF(Assumptions!$E$3=3,Assumptions!B10,IF(Assumptions!$E$3=4,Assumptions!B11,IF(Assumptions!$E$3=5,Assumptions!B12,Assumptions!B13))))))</f>
        <v>851.4</v>
      </c>
      <c r="D28" s="114"/>
      <c r="E28" s="114"/>
      <c r="F28" s="114"/>
      <c r="G28" s="114">
        <f>$C$15*Assumptions!$B$28*(IF(Assumptions!$E$3=1,Assumptions!F4,IF(Assumptions!$E$3=2,Assumptions!F5,IF(Assumptions!$E$3=3,Assumptions!F6,IF(Assumptions!$E$3=4,Assumptions!F7,IF(Assumptions!$E$3=5,Assumptions!F8,Assumptions!F9))))))/(IF(Assumptions!$E$3=1,Assumptions!B19,IF(Assumptions!$E$3=2,Assumptions!B20,IF(Assumptions!$E$3=3,Assumptions!B21,IF(Assumptions!$E$3=4,Assumptions!B22,IF(Assumptions!$E$3=5,Assumptions!B23,Assumptions!B24))))))</f>
        <v>1064.25</v>
      </c>
      <c r="H28" s="115"/>
      <c r="I28" s="115"/>
      <c r="J28" s="115"/>
      <c r="K28" s="114">
        <f>G28-C28</f>
        <v>212.85000000000002</v>
      </c>
      <c r="L28" s="115"/>
      <c r="M28" s="116"/>
    </row>
    <row r="29" spans="1:13" ht="15.75" customHeight="1" outlineLevel="1">
      <c r="A29" s="145" t="s">
        <v>55</v>
      </c>
      <c r="B29" s="18"/>
      <c r="C29" s="148">
        <f>C15*(Assumptions!B32*Assumptions!B33)</f>
        <v>0</v>
      </c>
      <c r="D29" s="148"/>
      <c r="E29" s="148"/>
      <c r="F29" s="148"/>
      <c r="G29" s="148">
        <f>C15*(Assumptions!B32*Assumptions!B33)</f>
        <v>0</v>
      </c>
      <c r="H29" s="149"/>
      <c r="I29" s="149"/>
      <c r="J29" s="149"/>
      <c r="K29" s="21">
        <f>G29-C29</f>
        <v>0</v>
      </c>
      <c r="L29" s="149"/>
      <c r="M29" s="19"/>
    </row>
    <row r="30" spans="1:13" s="24" customFormat="1" ht="15.75" customHeight="1">
      <c r="A30" s="85" t="s">
        <v>7</v>
      </c>
      <c r="B30" s="22"/>
      <c r="C30" s="44">
        <f>C27+C29</f>
        <v>82.636884</v>
      </c>
      <c r="D30" s="22"/>
      <c r="E30" s="22"/>
      <c r="F30" s="22"/>
      <c r="G30" s="44">
        <f>G27+G29</f>
        <v>103.296105</v>
      </c>
      <c r="H30" s="22"/>
      <c r="I30" s="22"/>
      <c r="J30" s="22"/>
      <c r="K30" s="44">
        <f>K27+K29</f>
        <v>20.659221000000002</v>
      </c>
      <c r="L30" s="22"/>
      <c r="M30" s="23"/>
    </row>
    <row r="31" spans="1:13" ht="15.75" customHeight="1">
      <c r="A31" s="20"/>
      <c r="B31" s="18"/>
      <c r="C31" s="18"/>
      <c r="D31" s="18"/>
      <c r="E31" s="18"/>
      <c r="F31" s="18"/>
      <c r="G31" s="18"/>
      <c r="H31" s="18"/>
      <c r="I31" s="18"/>
      <c r="J31" s="18"/>
      <c r="K31" s="18"/>
      <c r="L31" s="18"/>
      <c r="M31" s="19"/>
    </row>
    <row r="32" spans="1:13" ht="15.75" customHeight="1">
      <c r="A32" s="84" t="s">
        <v>31</v>
      </c>
      <c r="B32" s="18"/>
      <c r="C32" s="18"/>
      <c r="D32" s="18"/>
      <c r="E32" s="18"/>
      <c r="F32" s="18"/>
      <c r="G32" s="18"/>
      <c r="H32" s="18"/>
      <c r="I32" s="18"/>
      <c r="J32" s="18"/>
      <c r="K32" s="18"/>
      <c r="L32" s="18"/>
      <c r="M32" s="19"/>
    </row>
    <row r="33" spans="1:13" ht="15.75" customHeight="1">
      <c r="A33" s="126" t="s">
        <v>42</v>
      </c>
      <c r="B33" s="18"/>
      <c r="C33" s="21">
        <f>PV(Assumptions!B36,Assumptions!B14,-C27,,0)</f>
        <v>775.5532516777475</v>
      </c>
      <c r="D33" s="18"/>
      <c r="E33" s="18"/>
      <c r="F33" s="18"/>
      <c r="G33" s="21">
        <f>PV(Assumptions!B36,Assumptions!B25,-G27,,0)</f>
        <v>969.4415645971845</v>
      </c>
      <c r="H33" s="18"/>
      <c r="I33" s="18"/>
      <c r="J33" s="18"/>
      <c r="K33" s="21">
        <f>G33-C33</f>
        <v>193.888312919437</v>
      </c>
      <c r="L33" s="18"/>
      <c r="M33" s="19"/>
    </row>
    <row r="34" spans="1:13" s="3" customFormat="1" ht="15.75" customHeight="1" outlineLevel="1">
      <c r="A34" s="112" t="s">
        <v>41</v>
      </c>
      <c r="B34" s="113"/>
      <c r="C34" s="114">
        <f>C28*Assumptions!B14</f>
        <v>10216.8</v>
      </c>
      <c r="D34" s="115"/>
      <c r="E34" s="115"/>
      <c r="F34" s="115"/>
      <c r="G34" s="114">
        <f>G28*Assumptions!B25</f>
        <v>12771</v>
      </c>
      <c r="H34" s="115"/>
      <c r="I34" s="115"/>
      <c r="J34" s="115"/>
      <c r="K34" s="114">
        <f>G34-C34</f>
        <v>2554.2000000000007</v>
      </c>
      <c r="L34" s="117"/>
      <c r="M34" s="116"/>
    </row>
    <row r="35" spans="1:13" ht="15.75" customHeight="1">
      <c r="A35" s="145" t="s">
        <v>82</v>
      </c>
      <c r="B35" s="18"/>
      <c r="C35" s="21">
        <f>PV(Assumptions!B36,Assumptions!B14,-C29,,0)</f>
        <v>0</v>
      </c>
      <c r="D35" s="18"/>
      <c r="E35" s="18"/>
      <c r="F35" s="18"/>
      <c r="G35" s="21">
        <f>PV(Assumptions!B36,Assumptions!B14,-G29,,0)</f>
        <v>0</v>
      </c>
      <c r="H35" s="18"/>
      <c r="I35" s="18"/>
      <c r="J35" s="18"/>
      <c r="K35" s="21">
        <f>G35-C35</f>
        <v>0</v>
      </c>
      <c r="L35" s="18"/>
      <c r="M35" s="19"/>
    </row>
    <row r="36" spans="1:13" ht="15.75" customHeight="1">
      <c r="A36" s="20" t="str">
        <f>"Purchase price for "&amp;C15&amp;" unit(s)"</f>
        <v>Purchase price for 1 unit(s)</v>
      </c>
      <c r="B36" s="18"/>
      <c r="C36" s="99">
        <f>C15*C21</f>
        <v>150</v>
      </c>
      <c r="D36" s="18"/>
      <c r="E36" s="18"/>
      <c r="F36" s="18"/>
      <c r="G36" s="21">
        <f>C15*G21</f>
        <v>150</v>
      </c>
      <c r="H36" s="18"/>
      <c r="I36" s="18"/>
      <c r="J36" s="18"/>
      <c r="K36" s="21">
        <f>G36-C36</f>
        <v>0</v>
      </c>
      <c r="L36" s="18"/>
      <c r="M36" s="19"/>
    </row>
    <row r="37" spans="1:13" s="24" customFormat="1" ht="15.75" customHeight="1">
      <c r="A37" s="85" t="s">
        <v>7</v>
      </c>
      <c r="B37" s="18"/>
      <c r="C37" s="100">
        <f>C33+C36+C35</f>
        <v>925.5532516777475</v>
      </c>
      <c r="D37" s="22"/>
      <c r="E37" s="22"/>
      <c r="F37" s="22"/>
      <c r="G37" s="44">
        <f>G33+G36+G35</f>
        <v>1119.4415645971844</v>
      </c>
      <c r="H37" s="22"/>
      <c r="I37" s="22"/>
      <c r="J37" s="22"/>
      <c r="K37" s="44">
        <f>K33+K36+K35</f>
        <v>193.888312919437</v>
      </c>
      <c r="L37" s="22"/>
      <c r="M37" s="23"/>
    </row>
    <row r="38" spans="1:13" s="24" customFormat="1" ht="15.75" customHeight="1">
      <c r="A38" s="43"/>
      <c r="B38" s="22"/>
      <c r="C38" s="45"/>
      <c r="D38" s="22"/>
      <c r="E38" s="22"/>
      <c r="F38" s="22"/>
      <c r="G38" s="45"/>
      <c r="H38" s="22"/>
      <c r="I38" s="22"/>
      <c r="J38" s="22"/>
      <c r="K38" s="45"/>
      <c r="L38" s="22"/>
      <c r="M38" s="23"/>
    </row>
    <row r="39" spans="1:18" ht="15.75" customHeight="1">
      <c r="A39" s="136"/>
      <c r="B39" s="18"/>
      <c r="C39" s="18"/>
      <c r="D39" s="18"/>
      <c r="E39" s="18"/>
      <c r="F39" s="18"/>
      <c r="G39" s="18"/>
      <c r="H39" s="18"/>
      <c r="I39" s="18"/>
      <c r="J39" s="25" t="s">
        <v>8</v>
      </c>
      <c r="K39" s="144">
        <f>IF(K46&lt;=0,0,IF(K30&lt;0,"N/A",IF(K30=0,"&gt;"&amp;Assumptions!B14&amp;"",IF(K46/K30&gt;Assumptions!B14,"&gt;"&amp;Assumptions!B14&amp;"",K46/K30))))</f>
        <v>0</v>
      </c>
      <c r="L39" s="18"/>
      <c r="M39" s="19"/>
      <c r="N39" s="68"/>
      <c r="O39" s="68"/>
      <c r="P39" s="68"/>
      <c r="Q39" s="68"/>
      <c r="R39" s="68"/>
    </row>
    <row r="40" spans="1:13" ht="4.5" customHeight="1">
      <c r="A40" s="26"/>
      <c r="B40" s="27"/>
      <c r="C40" s="27"/>
      <c r="D40" s="27"/>
      <c r="E40" s="27"/>
      <c r="F40" s="27"/>
      <c r="G40" s="27"/>
      <c r="H40" s="27"/>
      <c r="I40" s="27"/>
      <c r="J40" s="27"/>
      <c r="K40" s="27"/>
      <c r="L40" s="27"/>
      <c r="M40" s="28"/>
    </row>
    <row r="41" spans="1:13" ht="24" customHeight="1">
      <c r="A41" s="161" t="s">
        <v>32</v>
      </c>
      <c r="B41" s="162"/>
      <c r="C41" s="162"/>
      <c r="D41" s="162"/>
      <c r="E41" s="162"/>
      <c r="F41" s="162"/>
      <c r="G41" s="162"/>
      <c r="H41" s="162"/>
      <c r="I41" s="162"/>
      <c r="J41" s="162"/>
      <c r="K41" s="162"/>
      <c r="L41" s="162"/>
      <c r="M41" s="162"/>
    </row>
    <row r="42" spans="1:13" ht="13.5">
      <c r="A42" s="158" t="s">
        <v>33</v>
      </c>
      <c r="B42" s="158"/>
      <c r="C42" s="158"/>
      <c r="D42" s="158"/>
      <c r="E42" s="158"/>
      <c r="F42" s="158"/>
      <c r="G42" s="158"/>
      <c r="H42" s="158"/>
      <c r="I42" s="158"/>
      <c r="J42" s="158"/>
      <c r="K42" s="158"/>
      <c r="L42" s="158"/>
      <c r="M42" s="158"/>
    </row>
    <row r="43" spans="1:13" ht="24.75" customHeight="1">
      <c r="A43" s="124"/>
      <c r="B43" s="124"/>
      <c r="C43" s="124"/>
      <c r="D43" s="124"/>
      <c r="E43" s="124"/>
      <c r="F43" s="124"/>
      <c r="G43" s="124"/>
      <c r="H43" s="124"/>
      <c r="I43" s="124"/>
      <c r="J43" s="124"/>
      <c r="K43" s="124"/>
      <c r="L43" s="124"/>
      <c r="M43" s="124"/>
    </row>
    <row r="44" spans="1:13" ht="15.75" customHeight="1">
      <c r="A44" s="159" t="str">
        <f>"Summary of Benefits for "&amp;C15&amp;" Dehumidifier(s)"</f>
        <v>Summary of Benefits for 1 Dehumidifier(s)</v>
      </c>
      <c r="B44" s="159"/>
      <c r="C44" s="159"/>
      <c r="D44" s="159"/>
      <c r="E44" s="159"/>
      <c r="F44" s="159"/>
      <c r="G44" s="159"/>
      <c r="H44" s="159"/>
      <c r="I44" s="159"/>
      <c r="J44" s="159"/>
      <c r="K44" s="159"/>
      <c r="L44" s="159"/>
      <c r="M44" s="159"/>
    </row>
    <row r="45" spans="1:13" ht="4.5" customHeight="1">
      <c r="A45" s="29" t="s">
        <v>9</v>
      </c>
      <c r="B45" s="30"/>
      <c r="C45" s="30"/>
      <c r="D45" s="30"/>
      <c r="E45" s="30"/>
      <c r="F45" s="30"/>
      <c r="G45" s="30"/>
      <c r="H45" s="30"/>
      <c r="I45" s="30"/>
      <c r="J45" s="30"/>
      <c r="K45" s="30"/>
      <c r="L45" s="30"/>
      <c r="M45" s="31"/>
    </row>
    <row r="46" spans="1:13" ht="15.75" customHeight="1">
      <c r="A46" s="32" t="s">
        <v>10</v>
      </c>
      <c r="B46" s="47"/>
      <c r="C46" s="47"/>
      <c r="D46" s="47"/>
      <c r="E46" s="47"/>
      <c r="F46" s="47"/>
      <c r="G46" s="47"/>
      <c r="H46" s="47"/>
      <c r="I46" s="47"/>
      <c r="J46" s="47"/>
      <c r="K46" s="127">
        <f>(C21-G21)*C15</f>
        <v>0</v>
      </c>
      <c r="L46" s="101"/>
      <c r="M46" s="106"/>
    </row>
    <row r="47" spans="1:13" ht="15.75" customHeight="1">
      <c r="A47" s="32" t="s">
        <v>11</v>
      </c>
      <c r="B47" s="47"/>
      <c r="C47" s="47"/>
      <c r="D47" s="47"/>
      <c r="E47" s="47"/>
      <c r="F47" s="47"/>
      <c r="G47" s="47"/>
      <c r="H47" s="47"/>
      <c r="I47" s="47"/>
      <c r="J47" s="47"/>
      <c r="K47" s="127">
        <f>K33</f>
        <v>193.888312919437</v>
      </c>
      <c r="L47" s="101"/>
      <c r="M47" s="106"/>
    </row>
    <row r="48" spans="1:13" ht="15.75" customHeight="1">
      <c r="A48" s="32" t="s">
        <v>12</v>
      </c>
      <c r="B48" s="47"/>
      <c r="C48" s="47"/>
      <c r="D48" s="47"/>
      <c r="E48" s="47"/>
      <c r="F48" s="47"/>
      <c r="G48" s="47"/>
      <c r="H48" s="47"/>
      <c r="I48" s="47"/>
      <c r="J48" s="47"/>
      <c r="K48" s="127">
        <f>K37</f>
        <v>193.888312919437</v>
      </c>
      <c r="L48" s="101"/>
      <c r="M48" s="106"/>
    </row>
    <row r="49" spans="1:13" ht="15.75" customHeight="1">
      <c r="A49" s="32" t="s">
        <v>13</v>
      </c>
      <c r="B49" s="47"/>
      <c r="C49" s="47"/>
      <c r="D49" s="47"/>
      <c r="E49" s="47"/>
      <c r="F49" s="47"/>
      <c r="G49" s="47"/>
      <c r="H49" s="47"/>
      <c r="I49" s="47"/>
      <c r="J49" s="47"/>
      <c r="K49" s="137">
        <f>K39</f>
        <v>0</v>
      </c>
      <c r="L49" s="102"/>
      <c r="M49" s="107"/>
    </row>
    <row r="50" spans="1:13" ht="15.75" customHeight="1">
      <c r="A50" s="32" t="s">
        <v>47</v>
      </c>
      <c r="B50" s="47"/>
      <c r="C50" s="47"/>
      <c r="D50" s="47"/>
      <c r="E50" s="47"/>
      <c r="F50" s="47"/>
      <c r="G50" s="47"/>
      <c r="H50" s="47"/>
      <c r="I50" s="47"/>
      <c r="J50" s="47"/>
      <c r="K50" s="128">
        <f>K34</f>
        <v>2554.2000000000007</v>
      </c>
      <c r="L50" s="103"/>
      <c r="M50" s="108"/>
    </row>
    <row r="51" spans="1:13" ht="15.75" customHeight="1">
      <c r="A51" s="32" t="s">
        <v>14</v>
      </c>
      <c r="B51" s="47"/>
      <c r="C51" s="47"/>
      <c r="D51" s="47"/>
      <c r="E51" s="47"/>
      <c r="F51" s="47"/>
      <c r="G51" s="47"/>
      <c r="H51" s="47"/>
      <c r="I51" s="47"/>
      <c r="J51" s="47"/>
      <c r="K51" s="128">
        <f>K34*Assumptions!B43</f>
        <v>3920.697000000001</v>
      </c>
      <c r="L51" s="103"/>
      <c r="M51" s="108"/>
    </row>
    <row r="52" spans="1:13" ht="15.75" customHeight="1">
      <c r="A52" s="32" t="s">
        <v>15</v>
      </c>
      <c r="B52" s="47"/>
      <c r="C52" s="47"/>
      <c r="D52" s="47"/>
      <c r="E52" s="47"/>
      <c r="F52" s="47"/>
      <c r="G52" s="47"/>
      <c r="H52" s="47"/>
      <c r="I52" s="47"/>
      <c r="J52" s="47"/>
      <c r="K52" s="130">
        <f>K34*Assumptions!B43/Assumptions!B47</f>
        <v>0.34182188317349615</v>
      </c>
      <c r="L52" s="104"/>
      <c r="M52" s="109"/>
    </row>
    <row r="53" spans="1:13" ht="15.75" customHeight="1">
      <c r="A53" s="32" t="s">
        <v>16</v>
      </c>
      <c r="B53" s="47"/>
      <c r="C53" s="47"/>
      <c r="D53" s="47"/>
      <c r="E53" s="47"/>
      <c r="F53" s="47"/>
      <c r="G53" s="47"/>
      <c r="H53" s="47"/>
      <c r="I53" s="47"/>
      <c r="J53" s="47"/>
      <c r="K53" s="130">
        <f>K34*Assumptions!B43/Assumptions!B46</f>
        <v>0.4860769898338707</v>
      </c>
      <c r="L53" s="104"/>
      <c r="M53" s="109"/>
    </row>
    <row r="54" spans="1:13" ht="15.75" customHeight="1">
      <c r="A54" s="89" t="s">
        <v>17</v>
      </c>
      <c r="B54" s="47"/>
      <c r="C54" s="47"/>
      <c r="D54" s="47"/>
      <c r="E54" s="47"/>
      <c r="F54" s="47"/>
      <c r="G54" s="47"/>
      <c r="H54" s="47"/>
      <c r="I54" s="47"/>
      <c r="J54" s="47"/>
      <c r="K54" s="129">
        <f>K37/(C21*C15)</f>
        <v>1.2925887527962467</v>
      </c>
      <c r="L54" s="105"/>
      <c r="M54" s="110"/>
    </row>
    <row r="55" spans="1:13" s="35" customFormat="1" ht="4.5" customHeight="1">
      <c r="A55" s="90"/>
      <c r="B55" s="33"/>
      <c r="C55" s="33"/>
      <c r="D55" s="33"/>
      <c r="E55" s="33"/>
      <c r="F55" s="33"/>
      <c r="G55" s="33"/>
      <c r="H55" s="33"/>
      <c r="I55" s="33"/>
      <c r="J55" s="33"/>
      <c r="K55" s="33"/>
      <c r="L55" s="33"/>
      <c r="M55" s="34"/>
    </row>
    <row r="56" s="35" customFormat="1" ht="15.75" customHeight="1">
      <c r="A56" s="4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17">
    <mergeCell ref="A7:M7"/>
    <mergeCell ref="A8:M8"/>
    <mergeCell ref="A11:M11"/>
    <mergeCell ref="A13:M13"/>
    <mergeCell ref="B19:D19"/>
    <mergeCell ref="F19:H19"/>
    <mergeCell ref="J19:L19"/>
    <mergeCell ref="A24:M24"/>
    <mergeCell ref="J20:L20"/>
    <mergeCell ref="J21:L21"/>
    <mergeCell ref="A23:M23"/>
    <mergeCell ref="A42:M42"/>
    <mergeCell ref="A44:M44"/>
    <mergeCell ref="B25:D25"/>
    <mergeCell ref="F25:H25"/>
    <mergeCell ref="J25:L25"/>
    <mergeCell ref="A41:M41"/>
  </mergeCells>
  <dataValidations count="1">
    <dataValidation type="decimal" operator="greaterThan" showInputMessage="1" showErrorMessage="1" error="Please enter a positive value.&#10;&#10;Thank you." sqref="C15:C16 G21 C21">
      <formula1>0</formula1>
    </dataValidation>
  </dataValidations>
  <printOptions horizontalCentered="1"/>
  <pageMargins left="1" right="1" top="1" bottom="1" header="0.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156"/>
  <sheetViews>
    <sheetView zoomScale="85" zoomScaleNormal="85" zoomScaleSheetLayoutView="100" zoomScalePageLayoutView="0" workbookViewId="0" topLeftCell="A1">
      <selection activeCell="D15" sqref="D15"/>
    </sheetView>
  </sheetViews>
  <sheetFormatPr defaultColWidth="9.140625" defaultRowHeight="12.75"/>
  <cols>
    <col min="1" max="1" width="45.7109375" style="51" bestFit="1" customWidth="1"/>
    <col min="2" max="2" width="10.140625" style="73" bestFit="1" customWidth="1"/>
    <col min="3" max="3" width="11.8515625" style="74" bestFit="1" customWidth="1"/>
    <col min="4" max="4" width="75.28125" style="68" bestFit="1" customWidth="1"/>
    <col min="5" max="8" width="9.140625" style="51" customWidth="1"/>
    <col min="9" max="9" width="15.421875" style="51" bestFit="1" customWidth="1"/>
    <col min="10" max="10" width="19.00390625" style="51" bestFit="1" customWidth="1"/>
    <col min="11" max="23" width="9.140625" style="51" customWidth="1"/>
    <col min="24" max="16384" width="9.140625" style="52" customWidth="1"/>
  </cols>
  <sheetData>
    <row r="1" spans="1:13" ht="15.75">
      <c r="A1" s="169" t="s">
        <v>52</v>
      </c>
      <c r="B1" s="170"/>
      <c r="C1" s="170"/>
      <c r="D1" s="171"/>
      <c r="E1" s="150"/>
      <c r="F1" s="150"/>
      <c r="G1" s="150"/>
      <c r="H1" s="150"/>
      <c r="I1" s="150"/>
      <c r="J1" s="150"/>
      <c r="K1" s="150"/>
      <c r="L1" s="143"/>
      <c r="M1" s="143"/>
    </row>
    <row r="2" spans="1:13" ht="15.75">
      <c r="A2" s="95"/>
      <c r="B2" s="53"/>
      <c r="C2" s="53"/>
      <c r="D2" s="96"/>
      <c r="E2" s="153"/>
      <c r="F2" s="153"/>
      <c r="G2" s="153"/>
      <c r="H2" s="153"/>
      <c r="I2" s="153"/>
      <c r="J2" s="153"/>
      <c r="K2" s="150"/>
      <c r="L2" s="143"/>
      <c r="M2" s="143"/>
    </row>
    <row r="3" spans="1:23" s="133" customFormat="1" ht="15">
      <c r="A3" s="76" t="s">
        <v>18</v>
      </c>
      <c r="B3" s="172" t="s">
        <v>19</v>
      </c>
      <c r="C3" s="172"/>
      <c r="D3" s="131" t="s">
        <v>20</v>
      </c>
      <c r="E3" s="175">
        <v>3</v>
      </c>
      <c r="F3" s="176" t="s">
        <v>76</v>
      </c>
      <c r="G3" s="176" t="s">
        <v>77</v>
      </c>
      <c r="H3" s="176"/>
      <c r="I3" s="173"/>
      <c r="J3" s="173"/>
      <c r="K3" s="142"/>
      <c r="L3" s="142"/>
      <c r="M3" s="142"/>
      <c r="N3" s="132"/>
      <c r="O3" s="132"/>
      <c r="P3" s="132"/>
      <c r="Q3" s="132"/>
      <c r="R3" s="132"/>
      <c r="S3" s="132"/>
      <c r="T3" s="132"/>
      <c r="U3" s="132"/>
      <c r="V3" s="132"/>
      <c r="W3" s="132"/>
    </row>
    <row r="4" spans="1:13" ht="15">
      <c r="A4" s="81" t="s">
        <v>21</v>
      </c>
      <c r="B4" s="54"/>
      <c r="C4" s="55"/>
      <c r="D4" s="56"/>
      <c r="E4" s="177"/>
      <c r="F4" s="178">
        <f>G4*0.473</f>
        <v>10.595199999999998</v>
      </c>
      <c r="G4" s="178">
        <v>22.4</v>
      </c>
      <c r="H4" s="179" t="s">
        <v>68</v>
      </c>
      <c r="I4" s="156"/>
      <c r="J4" s="156"/>
      <c r="K4" s="143"/>
      <c r="L4" s="143"/>
      <c r="M4" s="143"/>
    </row>
    <row r="5" spans="1:13" ht="12.75">
      <c r="A5" s="57" t="s">
        <v>3</v>
      </c>
      <c r="B5" s="58"/>
      <c r="C5" s="49"/>
      <c r="D5" s="50"/>
      <c r="E5" s="177"/>
      <c r="F5" s="178">
        <f aca="true" t="shared" si="0" ref="F4:F9">G5*0.473</f>
        <v>14.19</v>
      </c>
      <c r="G5" s="178">
        <v>30</v>
      </c>
      <c r="H5" s="179" t="s">
        <v>69</v>
      </c>
      <c r="I5" s="156"/>
      <c r="J5" s="156"/>
      <c r="K5" s="143"/>
      <c r="L5" s="143"/>
      <c r="M5" s="143"/>
    </row>
    <row r="6" spans="1:13" ht="12.75">
      <c r="A6" s="92" t="s">
        <v>49</v>
      </c>
      <c r="B6" s="61">
        <v>150</v>
      </c>
      <c r="C6" s="49"/>
      <c r="D6" s="50" t="s">
        <v>66</v>
      </c>
      <c r="E6" s="177"/>
      <c r="F6" s="178">
        <f t="shared" si="0"/>
        <v>18.919999999999998</v>
      </c>
      <c r="G6" s="180">
        <v>40</v>
      </c>
      <c r="H6" s="181" t="s">
        <v>70</v>
      </c>
      <c r="I6" s="156"/>
      <c r="J6" s="156"/>
      <c r="K6" s="143"/>
      <c r="L6" s="143"/>
      <c r="M6" s="143"/>
    </row>
    <row r="7" spans="1:13" ht="14.25" customHeight="1">
      <c r="A7" s="122" t="s">
        <v>51</v>
      </c>
      <c r="B7" s="139"/>
      <c r="C7" s="140"/>
      <c r="D7" s="50"/>
      <c r="E7" s="177"/>
      <c r="F7" s="178">
        <f>G7*0.473</f>
        <v>23.4135</v>
      </c>
      <c r="G7" s="180">
        <f>(45+54)/2</f>
        <v>49.5</v>
      </c>
      <c r="H7" s="181" t="s">
        <v>71</v>
      </c>
      <c r="I7" s="156"/>
      <c r="J7" s="156"/>
      <c r="K7" s="143"/>
      <c r="L7" s="143"/>
      <c r="M7" s="143"/>
    </row>
    <row r="8" spans="1:13" ht="14.25" customHeight="1">
      <c r="A8" s="123" t="s">
        <v>60</v>
      </c>
      <c r="B8" s="152">
        <v>1.2</v>
      </c>
      <c r="C8" s="74" t="s">
        <v>50</v>
      </c>
      <c r="D8" s="97" t="s">
        <v>86</v>
      </c>
      <c r="E8" s="177"/>
      <c r="F8" s="178">
        <f t="shared" si="0"/>
        <v>30.508499999999998</v>
      </c>
      <c r="G8" s="182">
        <f>(54+75)/2</f>
        <v>64.5</v>
      </c>
      <c r="H8" s="183" t="s">
        <v>72</v>
      </c>
      <c r="I8" s="156"/>
      <c r="J8" s="156"/>
      <c r="K8" s="143"/>
      <c r="L8" s="143"/>
      <c r="M8" s="143"/>
    </row>
    <row r="9" spans="1:13" ht="14.25" customHeight="1">
      <c r="A9" s="123" t="s">
        <v>61</v>
      </c>
      <c r="B9" s="152">
        <v>1.4</v>
      </c>
      <c r="C9" s="74" t="s">
        <v>50</v>
      </c>
      <c r="D9" s="97" t="s">
        <v>86</v>
      </c>
      <c r="E9" s="177"/>
      <c r="F9" s="178">
        <f t="shared" si="0"/>
        <v>43.8944</v>
      </c>
      <c r="G9" s="180">
        <v>92.8</v>
      </c>
      <c r="H9" s="181" t="s">
        <v>73</v>
      </c>
      <c r="I9" s="156"/>
      <c r="J9" s="156"/>
      <c r="K9" s="143"/>
      <c r="L9" s="143"/>
      <c r="M9" s="143"/>
    </row>
    <row r="10" spans="1:13" ht="14.25" customHeight="1">
      <c r="A10" s="123" t="s">
        <v>62</v>
      </c>
      <c r="B10" s="152">
        <v>1.5</v>
      </c>
      <c r="C10" s="74" t="s">
        <v>50</v>
      </c>
      <c r="D10" s="97" t="s">
        <v>86</v>
      </c>
      <c r="E10" s="177"/>
      <c r="F10" s="177"/>
      <c r="G10" s="184"/>
      <c r="H10" s="184"/>
      <c r="I10" s="143"/>
      <c r="J10" s="157"/>
      <c r="K10" s="143"/>
      <c r="L10" s="143"/>
      <c r="M10" s="143"/>
    </row>
    <row r="11" spans="1:13" ht="14.25" customHeight="1">
      <c r="A11" s="123" t="s">
        <v>63</v>
      </c>
      <c r="B11" s="152">
        <v>1.6</v>
      </c>
      <c r="C11" s="74" t="s">
        <v>50</v>
      </c>
      <c r="D11" s="97" t="s">
        <v>86</v>
      </c>
      <c r="E11" s="138"/>
      <c r="F11" s="138"/>
      <c r="G11" s="154"/>
      <c r="H11" s="154"/>
      <c r="I11" s="138"/>
      <c r="J11" s="138"/>
      <c r="K11" s="143"/>
      <c r="L11" s="143"/>
      <c r="M11" s="143"/>
    </row>
    <row r="12" spans="1:13" ht="14.25" customHeight="1">
      <c r="A12" s="123" t="s">
        <v>64</v>
      </c>
      <c r="B12" s="152">
        <v>1.6</v>
      </c>
      <c r="C12" s="74" t="s">
        <v>50</v>
      </c>
      <c r="D12" s="97" t="s">
        <v>86</v>
      </c>
      <c r="E12" s="138"/>
      <c r="F12" s="138"/>
      <c r="G12" s="138"/>
      <c r="H12" s="138"/>
      <c r="I12" s="138"/>
      <c r="J12" s="138"/>
      <c r="K12" s="143"/>
      <c r="L12" s="143"/>
      <c r="M12" s="143"/>
    </row>
    <row r="13" spans="1:13" ht="14.25" customHeight="1">
      <c r="A13" s="123" t="s">
        <v>65</v>
      </c>
      <c r="B13" s="152">
        <v>2.5</v>
      </c>
      <c r="C13" s="74" t="s">
        <v>50</v>
      </c>
      <c r="D13" s="97" t="s">
        <v>86</v>
      </c>
      <c r="E13" s="138"/>
      <c r="F13" s="138"/>
      <c r="G13" s="138"/>
      <c r="H13" s="138"/>
      <c r="I13" s="138"/>
      <c r="J13" s="138"/>
      <c r="K13" s="143"/>
      <c r="L13" s="143"/>
      <c r="M13" s="143"/>
    </row>
    <row r="14" spans="1:13" ht="12.75">
      <c r="A14" s="83" t="s">
        <v>34</v>
      </c>
      <c r="B14" s="58">
        <v>12</v>
      </c>
      <c r="C14" s="49" t="s">
        <v>22</v>
      </c>
      <c r="D14" s="97" t="s">
        <v>85</v>
      </c>
      <c r="E14" s="138"/>
      <c r="F14" s="138"/>
      <c r="G14" s="138"/>
      <c r="H14" s="138"/>
      <c r="I14" s="138"/>
      <c r="J14" s="138"/>
      <c r="K14" s="143"/>
      <c r="L14" s="143"/>
      <c r="M14" s="143"/>
    </row>
    <row r="15" spans="1:10" ht="12.75">
      <c r="A15" s="83"/>
      <c r="B15" s="58"/>
      <c r="C15" s="49"/>
      <c r="D15" s="50"/>
      <c r="E15" s="138"/>
      <c r="F15" s="138"/>
      <c r="G15" s="138"/>
      <c r="H15" s="138"/>
      <c r="I15" s="138"/>
      <c r="J15" s="138"/>
    </row>
    <row r="16" spans="1:8" ht="12.75">
      <c r="A16" s="75" t="s">
        <v>4</v>
      </c>
      <c r="B16" s="58"/>
      <c r="C16" s="49"/>
      <c r="D16" s="50"/>
      <c r="H16" s="51" t="s">
        <v>9</v>
      </c>
    </row>
    <row r="17" spans="1:4" ht="12.75">
      <c r="A17" s="92" t="s">
        <v>49</v>
      </c>
      <c r="B17" s="61">
        <v>150</v>
      </c>
      <c r="C17" s="49"/>
      <c r="D17" s="50" t="s">
        <v>66</v>
      </c>
    </row>
    <row r="18" spans="1:4" ht="12.75">
      <c r="A18" s="121" t="s">
        <v>51</v>
      </c>
      <c r="B18" s="141"/>
      <c r="D18" s="50"/>
    </row>
    <row r="19" spans="1:4" ht="12.75">
      <c r="A19" s="123" t="s">
        <v>60</v>
      </c>
      <c r="B19" s="152">
        <v>1.1</v>
      </c>
      <c r="C19" s="74" t="s">
        <v>50</v>
      </c>
      <c r="D19" s="97" t="s">
        <v>85</v>
      </c>
    </row>
    <row r="20" spans="1:4" ht="12.75">
      <c r="A20" s="123" t="s">
        <v>61</v>
      </c>
      <c r="B20" s="152">
        <v>1.195</v>
      </c>
      <c r="C20" s="74" t="s">
        <v>50</v>
      </c>
      <c r="D20" s="97" t="s">
        <v>85</v>
      </c>
    </row>
    <row r="21" spans="1:10" ht="12.75">
      <c r="A21" s="123" t="s">
        <v>62</v>
      </c>
      <c r="B21" s="152">
        <v>1.2</v>
      </c>
      <c r="C21" s="74" t="s">
        <v>50</v>
      </c>
      <c r="D21" s="97" t="s">
        <v>85</v>
      </c>
      <c r="F21" s="67"/>
      <c r="G21" s="67"/>
      <c r="H21" s="67"/>
      <c r="I21" s="67"/>
      <c r="J21" s="67"/>
    </row>
    <row r="22" spans="1:23" s="68" customFormat="1" ht="12.75">
      <c r="A22" s="123" t="s">
        <v>63</v>
      </c>
      <c r="B22" s="152">
        <v>1.23</v>
      </c>
      <c r="C22" s="74" t="s">
        <v>50</v>
      </c>
      <c r="D22" s="97" t="s">
        <v>85</v>
      </c>
      <c r="E22" s="67"/>
      <c r="F22" s="67"/>
      <c r="G22" s="67"/>
      <c r="H22" s="67"/>
      <c r="I22" s="67"/>
      <c r="J22" s="67"/>
      <c r="K22" s="67"/>
      <c r="L22" s="67"/>
      <c r="M22" s="67"/>
      <c r="N22" s="67"/>
      <c r="O22" s="67"/>
      <c r="P22" s="67"/>
      <c r="Q22" s="67"/>
      <c r="R22" s="67"/>
      <c r="S22" s="67"/>
      <c r="T22" s="67"/>
      <c r="U22" s="67"/>
      <c r="V22" s="67"/>
      <c r="W22" s="67"/>
    </row>
    <row r="23" spans="1:23" s="68" customFormat="1" ht="12.75">
      <c r="A23" s="123" t="s">
        <v>64</v>
      </c>
      <c r="B23" s="152">
        <v>1.55</v>
      </c>
      <c r="C23" s="74" t="s">
        <v>50</v>
      </c>
      <c r="D23" s="97" t="s">
        <v>85</v>
      </c>
      <c r="E23" s="67"/>
      <c r="F23" s="67"/>
      <c r="G23" s="67"/>
      <c r="H23" s="67"/>
      <c r="I23" s="67"/>
      <c r="J23" s="67"/>
      <c r="K23" s="67"/>
      <c r="L23" s="67"/>
      <c r="M23" s="67"/>
      <c r="N23" s="67"/>
      <c r="O23" s="67"/>
      <c r="P23" s="67"/>
      <c r="Q23" s="67"/>
      <c r="R23" s="67"/>
      <c r="S23" s="67"/>
      <c r="T23" s="67"/>
      <c r="U23" s="67"/>
      <c r="V23" s="67"/>
      <c r="W23" s="67"/>
    </row>
    <row r="24" spans="1:23" s="68" customFormat="1" ht="12.75">
      <c r="A24" s="123" t="s">
        <v>65</v>
      </c>
      <c r="B24" s="152">
        <v>1.9</v>
      </c>
      <c r="C24" s="74" t="s">
        <v>50</v>
      </c>
      <c r="D24" s="97" t="s">
        <v>85</v>
      </c>
      <c r="E24" s="67"/>
      <c r="F24" s="67"/>
      <c r="G24" s="67"/>
      <c r="H24" s="67"/>
      <c r="I24" s="67"/>
      <c r="J24" s="67"/>
      <c r="K24" s="67"/>
      <c r="L24" s="67"/>
      <c r="M24" s="67"/>
      <c r="N24" s="67"/>
      <c r="O24" s="67"/>
      <c r="P24" s="67"/>
      <c r="Q24" s="67"/>
      <c r="R24" s="67"/>
      <c r="S24" s="67"/>
      <c r="T24" s="67"/>
      <c r="U24" s="67"/>
      <c r="V24" s="67"/>
      <c r="W24" s="67"/>
    </row>
    <row r="25" spans="1:23" s="68" customFormat="1" ht="12.75">
      <c r="A25" s="83" t="s">
        <v>34</v>
      </c>
      <c r="B25" s="58">
        <f>B14</f>
        <v>12</v>
      </c>
      <c r="C25" s="49" t="s">
        <v>22</v>
      </c>
      <c r="D25" s="97" t="s">
        <v>85</v>
      </c>
      <c r="E25" s="67"/>
      <c r="F25" s="51"/>
      <c r="G25" s="51"/>
      <c r="H25" s="51"/>
      <c r="I25" s="51"/>
      <c r="J25" s="51"/>
      <c r="K25" s="67"/>
      <c r="L25" s="67"/>
      <c r="M25" s="67"/>
      <c r="N25" s="67"/>
      <c r="O25" s="67"/>
      <c r="P25" s="67"/>
      <c r="Q25" s="67"/>
      <c r="R25" s="67"/>
      <c r="S25" s="67"/>
      <c r="T25" s="67"/>
      <c r="U25" s="67"/>
      <c r="V25" s="67"/>
      <c r="W25" s="67"/>
    </row>
    <row r="26" spans="1:23" s="68" customFormat="1" ht="12.75">
      <c r="A26" s="83"/>
      <c r="B26" s="60"/>
      <c r="C26" s="59"/>
      <c r="D26" s="50"/>
      <c r="E26" s="67"/>
      <c r="F26" s="51"/>
      <c r="G26" s="51"/>
      <c r="H26" s="51"/>
      <c r="I26" s="51"/>
      <c r="J26" s="51"/>
      <c r="K26" s="67"/>
      <c r="L26" s="67"/>
      <c r="M26" s="67"/>
      <c r="N26" s="67"/>
      <c r="O26" s="67"/>
      <c r="P26" s="67"/>
      <c r="Q26" s="67"/>
      <c r="R26" s="67"/>
      <c r="S26" s="67"/>
      <c r="T26" s="67"/>
      <c r="U26" s="67"/>
      <c r="V26" s="67"/>
      <c r="W26" s="67"/>
    </row>
    <row r="27" spans="1:4" ht="15">
      <c r="A27" s="77" t="s">
        <v>23</v>
      </c>
      <c r="B27" s="58"/>
      <c r="C27" s="49"/>
      <c r="D27" s="50"/>
    </row>
    <row r="28" spans="1:4" ht="12.75">
      <c r="A28" s="93" t="s">
        <v>67</v>
      </c>
      <c r="B28" s="151">
        <f>1620/24</f>
        <v>67.5</v>
      </c>
      <c r="C28" s="59" t="s">
        <v>74</v>
      </c>
      <c r="D28" s="50" t="s">
        <v>66</v>
      </c>
    </row>
    <row r="29" spans="1:4" ht="12.75">
      <c r="A29" s="93" t="s">
        <v>67</v>
      </c>
      <c r="B29" s="151">
        <v>1620</v>
      </c>
      <c r="C29" s="59" t="s">
        <v>80</v>
      </c>
      <c r="D29" s="50" t="s">
        <v>66</v>
      </c>
    </row>
    <row r="30" spans="1:4" ht="12.75">
      <c r="A30" s="83"/>
      <c r="B30" s="58"/>
      <c r="C30" s="49"/>
      <c r="D30" s="97"/>
    </row>
    <row r="31" spans="1:4" ht="15">
      <c r="A31" s="77" t="s">
        <v>56</v>
      </c>
      <c r="B31" s="146"/>
      <c r="C31" s="147"/>
      <c r="D31" s="50"/>
    </row>
    <row r="32" spans="1:4" ht="12.75">
      <c r="A32" s="92" t="s">
        <v>57</v>
      </c>
      <c r="B32" s="61">
        <v>20</v>
      </c>
      <c r="C32" s="49"/>
      <c r="D32" s="50" t="s">
        <v>36</v>
      </c>
    </row>
    <row r="33" spans="1:4" ht="12.75">
      <c r="A33" s="92" t="s">
        <v>58</v>
      </c>
      <c r="B33" s="58">
        <v>0</v>
      </c>
      <c r="C33" s="49"/>
      <c r="D33" s="50" t="s">
        <v>59</v>
      </c>
    </row>
    <row r="34" spans="1:4" ht="12.75">
      <c r="A34" s="83"/>
      <c r="B34" s="58"/>
      <c r="C34" s="49"/>
      <c r="D34" s="97"/>
    </row>
    <row r="35" spans="1:4" ht="15">
      <c r="A35" s="76" t="s">
        <v>24</v>
      </c>
      <c r="B35" s="58"/>
      <c r="C35" s="49"/>
      <c r="D35" s="50"/>
    </row>
    <row r="36" spans="1:4" ht="25.5">
      <c r="A36" s="82" t="s">
        <v>25</v>
      </c>
      <c r="B36" s="63">
        <v>0.04</v>
      </c>
      <c r="C36" s="49"/>
      <c r="D36" s="64" t="s">
        <v>26</v>
      </c>
    </row>
    <row r="37" spans="1:4" ht="12.75">
      <c r="A37" s="65"/>
      <c r="B37" s="66"/>
      <c r="C37" s="49"/>
      <c r="D37" s="50"/>
    </row>
    <row r="38" spans="1:4" ht="15">
      <c r="A38" s="78" t="s">
        <v>46</v>
      </c>
      <c r="B38" s="66"/>
      <c r="C38" s="49"/>
      <c r="D38" s="50"/>
    </row>
    <row r="39" spans="1:4" ht="12.75">
      <c r="A39" s="79" t="s">
        <v>78</v>
      </c>
      <c r="B39" s="155">
        <v>0.09039</v>
      </c>
      <c r="C39" s="49" t="s">
        <v>38</v>
      </c>
      <c r="D39" s="97" t="s">
        <v>83</v>
      </c>
    </row>
    <row r="40" spans="1:4" ht="12.75">
      <c r="A40" s="79" t="s">
        <v>79</v>
      </c>
      <c r="B40" s="155">
        <v>0.09706</v>
      </c>
      <c r="C40" s="49" t="s">
        <v>38</v>
      </c>
      <c r="D40" s="97" t="s">
        <v>83</v>
      </c>
    </row>
    <row r="41" spans="1:4" ht="12.75">
      <c r="A41" s="79"/>
      <c r="B41" s="66"/>
      <c r="C41" s="49"/>
      <c r="D41" s="50"/>
    </row>
    <row r="42" spans="1:4" ht="15">
      <c r="A42" s="78" t="s">
        <v>35</v>
      </c>
      <c r="B42" s="66"/>
      <c r="C42" s="49"/>
      <c r="D42" s="50"/>
    </row>
    <row r="43" spans="1:4" ht="15.75">
      <c r="A43" s="79" t="s">
        <v>39</v>
      </c>
      <c r="B43" s="66">
        <v>1.535</v>
      </c>
      <c r="C43" s="49" t="s">
        <v>40</v>
      </c>
      <c r="D43" s="50" t="s">
        <v>66</v>
      </c>
    </row>
    <row r="44" spans="1:4" ht="12.75">
      <c r="A44" s="50"/>
      <c r="B44" s="66"/>
      <c r="C44" s="49"/>
      <c r="D44" s="50"/>
    </row>
    <row r="45" spans="1:4" ht="16.5">
      <c r="A45" s="78" t="s">
        <v>29</v>
      </c>
      <c r="B45" s="69"/>
      <c r="C45" s="49"/>
      <c r="D45" s="50"/>
    </row>
    <row r="46" spans="1:4" ht="15.75">
      <c r="A46" s="79" t="s">
        <v>27</v>
      </c>
      <c r="B46" s="69">
        <v>8066</v>
      </c>
      <c r="C46" s="49" t="s">
        <v>44</v>
      </c>
      <c r="D46" s="50" t="s">
        <v>81</v>
      </c>
    </row>
    <row r="47" spans="1:4" ht="15.75">
      <c r="A47" s="80" t="s">
        <v>28</v>
      </c>
      <c r="B47" s="71">
        <v>11470</v>
      </c>
      <c r="C47" s="72" t="s">
        <v>44</v>
      </c>
      <c r="D47" s="70" t="s">
        <v>81</v>
      </c>
    </row>
    <row r="49" spans="1:4" ht="12.75">
      <c r="A49" s="62" t="s">
        <v>53</v>
      </c>
      <c r="B49" s="135" t="s">
        <v>54</v>
      </c>
      <c r="C49" s="134"/>
      <c r="D49" s="134"/>
    </row>
    <row r="51" ht="12.75">
      <c r="A51" s="174" t="s">
        <v>84</v>
      </c>
    </row>
    <row r="134" spans="6:10" ht="12.75">
      <c r="F134" s="62"/>
      <c r="G134" s="62"/>
      <c r="H134" s="62"/>
      <c r="I134" s="62"/>
      <c r="J134" s="62"/>
    </row>
    <row r="135" spans="5:11" ht="12.75">
      <c r="E135" s="62"/>
      <c r="K135" s="62"/>
    </row>
    <row r="139" ht="12.75" customHeight="1"/>
    <row r="143" ht="12.75" customHeight="1"/>
    <row r="145" ht="24.75" customHeight="1"/>
    <row r="146" spans="6:10" ht="12.75">
      <c r="F146" s="67"/>
      <c r="G146" s="67"/>
      <c r="H146" s="67"/>
      <c r="I146" s="67"/>
      <c r="J146" s="67"/>
    </row>
    <row r="147" spans="1:23" s="68" customFormat="1" ht="12.75">
      <c r="A147" s="51"/>
      <c r="B147" s="73"/>
      <c r="C147" s="74"/>
      <c r="E147" s="67"/>
      <c r="F147" s="67"/>
      <c r="G147" s="67"/>
      <c r="H147" s="67"/>
      <c r="I147" s="67"/>
      <c r="J147" s="67"/>
      <c r="K147" s="67"/>
      <c r="L147" s="67"/>
      <c r="M147" s="67"/>
      <c r="N147" s="67"/>
      <c r="O147" s="67"/>
      <c r="P147" s="67"/>
      <c r="Q147" s="67"/>
      <c r="R147" s="67"/>
      <c r="S147" s="67"/>
      <c r="T147" s="67"/>
      <c r="U147" s="67"/>
      <c r="V147" s="67"/>
      <c r="W147" s="67"/>
    </row>
    <row r="148" spans="1:23" s="68" customFormat="1" ht="12.75">
      <c r="A148" s="51"/>
      <c r="B148" s="73"/>
      <c r="C148" s="74"/>
      <c r="E148" s="67"/>
      <c r="F148" s="67"/>
      <c r="G148" s="67"/>
      <c r="H148" s="67"/>
      <c r="I148" s="67"/>
      <c r="J148" s="67"/>
      <c r="K148" s="67"/>
      <c r="L148" s="67"/>
      <c r="M148" s="67"/>
      <c r="N148" s="67"/>
      <c r="O148" s="67"/>
      <c r="P148" s="67"/>
      <c r="Q148" s="67"/>
      <c r="R148" s="67"/>
      <c r="S148" s="67"/>
      <c r="T148" s="67"/>
      <c r="U148" s="67"/>
      <c r="V148" s="67"/>
      <c r="W148" s="67"/>
    </row>
    <row r="149" spans="1:23" s="68" customFormat="1" ht="12.75">
      <c r="A149" s="51"/>
      <c r="B149" s="73"/>
      <c r="C149" s="74"/>
      <c r="E149" s="67"/>
      <c r="F149" s="67"/>
      <c r="G149" s="67"/>
      <c r="H149" s="67"/>
      <c r="I149" s="67"/>
      <c r="J149" s="67"/>
      <c r="K149" s="67"/>
      <c r="L149" s="67"/>
      <c r="M149" s="67"/>
      <c r="N149" s="67"/>
      <c r="O149" s="67"/>
      <c r="P149" s="67"/>
      <c r="Q149" s="67"/>
      <c r="R149" s="67"/>
      <c r="S149" s="67"/>
      <c r="T149" s="67"/>
      <c r="U149" s="67"/>
      <c r="V149" s="67"/>
      <c r="W149" s="67"/>
    </row>
    <row r="150" spans="1:23" s="68" customFormat="1" ht="12.75">
      <c r="A150" s="51"/>
      <c r="B150" s="73"/>
      <c r="C150" s="74"/>
      <c r="E150" s="67"/>
      <c r="F150" s="67"/>
      <c r="G150" s="67"/>
      <c r="H150" s="67"/>
      <c r="I150" s="67"/>
      <c r="J150" s="67"/>
      <c r="K150" s="67"/>
      <c r="L150" s="67"/>
      <c r="M150" s="67"/>
      <c r="N150" s="67"/>
      <c r="O150" s="67"/>
      <c r="P150" s="67"/>
      <c r="Q150" s="67"/>
      <c r="R150" s="67"/>
      <c r="S150" s="67"/>
      <c r="T150" s="67"/>
      <c r="U150" s="67"/>
      <c r="V150" s="67"/>
      <c r="W150" s="67"/>
    </row>
    <row r="151" spans="1:23" s="68" customFormat="1" ht="12.75">
      <c r="A151" s="51"/>
      <c r="B151" s="73"/>
      <c r="C151" s="74"/>
      <c r="E151" s="67"/>
      <c r="F151" s="67"/>
      <c r="G151" s="67"/>
      <c r="H151" s="67"/>
      <c r="I151" s="67"/>
      <c r="J151" s="67"/>
      <c r="K151" s="67"/>
      <c r="L151" s="67"/>
      <c r="M151" s="67"/>
      <c r="N151" s="67"/>
      <c r="O151" s="67"/>
      <c r="P151" s="67"/>
      <c r="Q151" s="67"/>
      <c r="R151" s="67"/>
      <c r="S151" s="67"/>
      <c r="T151" s="67"/>
      <c r="U151" s="67"/>
      <c r="V151" s="67"/>
      <c r="W151" s="67"/>
    </row>
    <row r="152" spans="1:23" s="68" customFormat="1" ht="12.75">
      <c r="A152" s="51"/>
      <c r="B152" s="73"/>
      <c r="C152" s="74"/>
      <c r="E152" s="67"/>
      <c r="F152" s="67"/>
      <c r="G152" s="67"/>
      <c r="H152" s="67"/>
      <c r="I152" s="67"/>
      <c r="J152" s="67"/>
      <c r="K152" s="67"/>
      <c r="L152" s="67"/>
      <c r="M152" s="67"/>
      <c r="N152" s="67"/>
      <c r="O152" s="67"/>
      <c r="P152" s="67"/>
      <c r="Q152" s="67"/>
      <c r="R152" s="67"/>
      <c r="S152" s="67"/>
      <c r="T152" s="67"/>
      <c r="U152" s="67"/>
      <c r="V152" s="67"/>
      <c r="W152" s="67"/>
    </row>
    <row r="153" spans="1:23" s="68" customFormat="1" ht="12.75">
      <c r="A153" s="51"/>
      <c r="B153" s="73"/>
      <c r="C153" s="74"/>
      <c r="E153" s="67"/>
      <c r="F153" s="67"/>
      <c r="G153" s="67"/>
      <c r="H153" s="67"/>
      <c r="I153" s="67"/>
      <c r="J153" s="67"/>
      <c r="K153" s="67"/>
      <c r="L153" s="67"/>
      <c r="M153" s="67"/>
      <c r="N153" s="67"/>
      <c r="O153" s="67"/>
      <c r="P153" s="67"/>
      <c r="Q153" s="67"/>
      <c r="R153" s="67"/>
      <c r="S153" s="67"/>
      <c r="T153" s="67"/>
      <c r="U153" s="67"/>
      <c r="V153" s="67"/>
      <c r="W153" s="67"/>
    </row>
    <row r="154" spans="1:23" s="68" customFormat="1" ht="12.75">
      <c r="A154" s="51"/>
      <c r="B154" s="73"/>
      <c r="C154" s="74"/>
      <c r="E154" s="67"/>
      <c r="F154" s="67"/>
      <c r="G154" s="67"/>
      <c r="H154" s="67"/>
      <c r="I154" s="67"/>
      <c r="J154" s="67"/>
      <c r="K154" s="67"/>
      <c r="L154" s="67"/>
      <c r="M154" s="67"/>
      <c r="N154" s="67"/>
      <c r="O154" s="67"/>
      <c r="P154" s="67"/>
      <c r="Q154" s="67"/>
      <c r="R154" s="67"/>
      <c r="S154" s="67"/>
      <c r="T154" s="67"/>
      <c r="U154" s="67"/>
      <c r="V154" s="67"/>
      <c r="W154" s="67"/>
    </row>
    <row r="155" spans="1:23" s="68" customFormat="1" ht="12.75">
      <c r="A155" s="51"/>
      <c r="B155" s="73"/>
      <c r="C155" s="74"/>
      <c r="E155" s="67"/>
      <c r="F155" s="67"/>
      <c r="G155" s="67"/>
      <c r="H155" s="67"/>
      <c r="I155" s="67"/>
      <c r="J155" s="67"/>
      <c r="K155" s="67"/>
      <c r="L155" s="67"/>
      <c r="M155" s="67"/>
      <c r="N155" s="67"/>
      <c r="O155" s="67"/>
      <c r="P155" s="67"/>
      <c r="Q155" s="67"/>
      <c r="R155" s="67"/>
      <c r="S155" s="67"/>
      <c r="T155" s="67"/>
      <c r="U155" s="67"/>
      <c r="V155" s="67"/>
      <c r="W155" s="67"/>
    </row>
    <row r="156" spans="1:23" s="68" customFormat="1" ht="12.75">
      <c r="A156" s="51"/>
      <c r="B156" s="73"/>
      <c r="C156" s="74"/>
      <c r="E156" s="67"/>
      <c r="F156" s="51"/>
      <c r="G156" s="51"/>
      <c r="H156" s="51"/>
      <c r="I156" s="51"/>
      <c r="J156" s="51"/>
      <c r="K156" s="67"/>
      <c r="L156" s="67"/>
      <c r="M156" s="67"/>
      <c r="N156" s="67"/>
      <c r="O156" s="67"/>
      <c r="P156" s="67"/>
      <c r="Q156" s="67"/>
      <c r="R156" s="67"/>
      <c r="S156" s="67"/>
      <c r="T156" s="67"/>
      <c r="U156" s="67"/>
      <c r="V156" s="67"/>
      <c r="W156" s="67"/>
    </row>
  </sheetData>
  <sheetProtection/>
  <mergeCells count="2">
    <mergeCell ref="A1:D1"/>
    <mergeCell ref="B3:C3"/>
  </mergeCells>
  <hyperlinks>
    <hyperlink ref="B49" r:id="rId1" display="Escalcs@cadmusgroup.com"/>
  </hyperlinks>
  <printOptions horizontalCentered="1"/>
  <pageMargins left="0.25" right="0.25" top="1" bottom="1" header="0.5" footer="0.5"/>
  <pageSetup fitToHeight="1" fitToWidth="1" horizontalDpi="600" verticalDpi="600" orientation="portrait"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2007-03-30T13:56:09Z</cp:lastPrinted>
  <dcterms:created xsi:type="dcterms:W3CDTF">2004-07-12T13:20:55Z</dcterms:created>
  <dcterms:modified xsi:type="dcterms:W3CDTF">2008-02-25T20:49:44Z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