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995" windowWidth="15360" windowHeight="9105" tabRatio="835" activeTab="0"/>
  </bookViews>
  <sheets>
    <sheet name="Commercial Ice Machine Calc" sheetId="1" r:id="rId1"/>
    <sheet name="Assumptions" sheetId="2" r:id="rId2"/>
  </sheets>
  <definedNames>
    <definedName name="_xlnm.Print_Area" localSheetId="1">'Assumptions'!$A$1:$D$75</definedName>
    <definedName name="_xlnm.Print_Area" localSheetId="0">'Commercial Ice Machine Calc'!$A$1:$M$60</definedName>
    <definedName name="Z_554B346B_D9D9_422D_B737_63DDCB95BB09_.wvu.PrintArea" localSheetId="1" hidden="1">'Assumptions'!$A$1:$D$70</definedName>
    <definedName name="Z_554B346B_D9D9_422D_B737_63DDCB95BB09_.wvu.PrintArea" localSheetId="0" hidden="1">'Commercial Ice Machine Calc'!$A$1:$M$60</definedName>
  </definedNames>
  <calcPr fullCalcOnLoad="1"/>
</workbook>
</file>

<file path=xl/sharedStrings.xml><?xml version="1.0" encoding="utf-8"?>
<sst xmlns="http://schemas.openxmlformats.org/spreadsheetml/2006/main" count="208" uniqueCount="114">
  <si>
    <t>Life Cycle Cost Estimate for</t>
  </si>
  <si>
    <t>This energy savings calculator was developed by the U.S. EPA and U.S. DOE and is provided for estimating purposes only.    Actual energy savings may vary based on use and other factors.</t>
  </si>
  <si>
    <t>Enter your own values in the gray boxes or use our default values.</t>
  </si>
  <si>
    <t>Number of units</t>
  </si>
  <si>
    <t>Electricity Rate ($/kWh)</t>
  </si>
  <si>
    <t>ENERGY STAR Qualified Unit</t>
  </si>
  <si>
    <t>Conventional Unit</t>
  </si>
  <si>
    <t>Initial cost per unit (estimated retail price)</t>
  </si>
  <si>
    <t xml:space="preserve"> Savings with ENERGY STAR</t>
  </si>
  <si>
    <t>Total</t>
  </si>
  <si>
    <t>Category</t>
  </si>
  <si>
    <t>Value</t>
  </si>
  <si>
    <t>Data Source</t>
  </si>
  <si>
    <t>Power</t>
  </si>
  <si>
    <t>years</t>
  </si>
  <si>
    <t>Usage</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</si>
  <si>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</si>
  <si>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</si>
  <si>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</si>
  <si>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</si>
  <si>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$/kWh</t>
  </si>
  <si>
    <t>Carbon Emissions Factors</t>
  </si>
  <si>
    <t>Electricity Carbon Emission Factors</t>
  </si>
  <si>
    <t>Energy consumption (kWh)</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</si>
  <si>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</si>
  <si>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</si>
  <si>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</si>
  <si>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</si>
  <si>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</si>
  <si>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</si>
  <si>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 xml:space="preserve">Lifetime </t>
  </si>
  <si>
    <t>days/year</t>
  </si>
  <si>
    <t>kWh</t>
  </si>
  <si>
    <t>Annual Unit Energy Consumption</t>
  </si>
  <si>
    <r>
      <t>lbs CO</t>
    </r>
    <r>
      <rPr>
        <vertAlign val="subscript"/>
        <sz val="10"/>
        <rFont val="Univers"/>
        <family val="2"/>
      </rPr>
      <t>2</t>
    </r>
    <r>
      <rPr>
        <sz val="10"/>
        <rFont val="Univers"/>
        <family val="2"/>
      </rPr>
      <t>/kWh</t>
    </r>
  </si>
  <si>
    <t>Initial cost per unit</t>
  </si>
  <si>
    <t>DOE 2004</t>
  </si>
  <si>
    <t>Conventional Unit (New Unit)</t>
  </si>
  <si>
    <t>Initial cost difference</t>
  </si>
  <si>
    <t>Life cycle savings</t>
  </si>
  <si>
    <t>Net life cycle savings (life cycle savings - additional cost)</t>
  </si>
  <si>
    <t>Simple payback of additional cost (years)</t>
  </si>
  <si>
    <t>Life cycle energy saved (kWh)</t>
  </si>
  <si>
    <t>Air pollution reduction equivalence (number of cars removed from the road for a year)</t>
  </si>
  <si>
    <t>Air pollution reduction equivalence (acres of forest)</t>
  </si>
  <si>
    <t>Savings as a percent of retail price</t>
  </si>
  <si>
    <r>
      <t>Simple payback of initial additional cost (years)</t>
    </r>
    <r>
      <rPr>
        <vertAlign val="superscript"/>
        <sz val="10"/>
        <rFont val="Univers"/>
        <family val="2"/>
      </rPr>
      <t>†</t>
    </r>
    <r>
      <rPr>
        <sz val="10"/>
        <rFont val="Univers"/>
        <family val="2"/>
      </rPr>
      <t xml:space="preserve">  </t>
    </r>
  </si>
  <si>
    <t>Life Cycle Costs*</t>
  </si>
  <si>
    <r>
      <t>Life cycle air pollution reduction (lbs of CO</t>
    </r>
    <r>
      <rPr>
        <vertAlign val="subscript"/>
        <sz val="10"/>
        <rFont val="Univers"/>
        <family val="2"/>
      </rPr>
      <t>2</t>
    </r>
    <r>
      <rPr>
        <sz val="10"/>
        <rFont val="Univers"/>
        <family val="2"/>
      </rPr>
      <t>)</t>
    </r>
  </si>
  <si>
    <t>Energy costs</t>
  </si>
  <si>
    <r>
      <t>lbs CO</t>
    </r>
    <r>
      <rPr>
        <vertAlign val="subscript"/>
        <sz val="10"/>
        <rFont val="Univers"/>
        <family val="2"/>
      </rPr>
      <t>2</t>
    </r>
    <r>
      <rPr>
        <sz val="10"/>
        <rFont val="Univers"/>
        <family val="2"/>
      </rPr>
      <t>/year</t>
    </r>
  </si>
  <si>
    <t>Harvest Rate (lbs ice/day)</t>
  </si>
  <si>
    <t>Potable Water Use (gal/100 lbs ice)</t>
  </si>
  <si>
    <t>Ice Making Head (IMH)</t>
  </si>
  <si>
    <t>Remote Condensing Unit (RCU) or Split System Unit</t>
  </si>
  <si>
    <t>Self Contained Unit (SCU)</t>
  </si>
  <si>
    <t>ES Spec</t>
  </si>
  <si>
    <t>UEC (kWh/100ice)</t>
  </si>
  <si>
    <t>water use (gal/100lbs ice)</t>
  </si>
  <si>
    <t>IMH</t>
  </si>
  <si>
    <t>&lt;450</t>
  </si>
  <si>
    <t>9.23-0.0077H</t>
  </si>
  <si>
    <t>&gt;=450</t>
  </si>
  <si>
    <t>6.20-0.0010H</t>
  </si>
  <si>
    <t>RCU (without remote compressor)</t>
  </si>
  <si>
    <t>&lt;1000</t>
  </si>
  <si>
    <t>8.05-0.0035H</t>
  </si>
  <si>
    <t>&gt;=1000</t>
  </si>
  <si>
    <t>RCU (with remote compressor)</t>
  </si>
  <si>
    <t>&lt;934</t>
  </si>
  <si>
    <t>&gt;=934</t>
  </si>
  <si>
    <t>SCU</t>
  </si>
  <si>
    <t>&lt;175</t>
  </si>
  <si>
    <t>16.7-0.0436H</t>
  </si>
  <si>
    <t>&gt;=175</t>
  </si>
  <si>
    <t>Water Rate ($/1000 gallons)</t>
  </si>
  <si>
    <t>Water costs</t>
  </si>
  <si>
    <t>Water consumption (gal)</t>
  </si>
  <si>
    <t>If you have any questions, please contact ESCalcs@cadmusgroup.com</t>
  </si>
  <si>
    <t>Potable Water Use</t>
  </si>
  <si>
    <t>lbs ice/day</t>
  </si>
  <si>
    <t>gal/100 lbs ice</t>
  </si>
  <si>
    <t>Conv Trendline</t>
  </si>
  <si>
    <t>18.92H+2398</t>
  </si>
  <si>
    <t>UEC (kWh/yr)</t>
  </si>
  <si>
    <t>17.06H+3650</t>
  </si>
  <si>
    <t>29.72H+1853</t>
  </si>
  <si>
    <t>ENERGY STAR Specification</t>
  </si>
  <si>
    <t>Duty cycle</t>
  </si>
  <si>
    <t>$/1000 gal</t>
  </si>
  <si>
    <t>Water Rate per 1000 Gallons</t>
  </si>
  <si>
    <t>Commercial Electricity Price</t>
  </si>
  <si>
    <t>Residential Electricity Price</t>
  </si>
  <si>
    <t>gallons/yr</t>
  </si>
  <si>
    <t>Calculated</t>
  </si>
  <si>
    <t>Assumed to equal ENERGY STAR product</t>
  </si>
  <si>
    <t>* The current ENERGY STAR specification does not apply to water-cooled technology, or flake and nugget ice machines.</t>
  </si>
  <si>
    <t>ARI Certified Product Directory, Certified Automatic Commercial Ice Makers: 810</t>
  </si>
  <si>
    <t>days in use/year</t>
  </si>
  <si>
    <t>Usage (days/year)</t>
  </si>
  <si>
    <t>Days in a Year</t>
  </si>
  <si>
    <t>Industry Data 2007</t>
  </si>
  <si>
    <t>Harvest Rate</t>
  </si>
  <si>
    <t>&gt;1000</t>
  </si>
  <si>
    <t>&gt;450</t>
  </si>
  <si>
    <t>&gt;175</t>
  </si>
  <si>
    <t>Assumptions for Commercial Ice Machines</t>
  </si>
  <si>
    <t>H, harvest rate</t>
  </si>
  <si>
    <t>LBNL 2007</t>
  </si>
  <si>
    <t>EPA 2003</t>
  </si>
  <si>
    <t>EIA 2008</t>
  </si>
  <si>
    <t>EPA 2007</t>
  </si>
  <si>
    <t>EPA 2008</t>
  </si>
  <si>
    <t>Calculator last updated: 08/08</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</si>
</sst>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_(&quot;$&quot;* #,##0.000_);_(&quot;$&quot;* \(#,##0.000\);_(&quot;$&quot;* &quot;-&quot;???_);_(@_)"/>
    <numFmt numFmtId="174" formatCode="&quot;Yes&quot;;&quot;Yes&quot;;&quot;No&quot;"/>
    <numFmt numFmtId="175" formatCode="&quot;True&quot;;&quot;True&quot;;&quot;False&quot;"/>
    <numFmt numFmtId="176" formatCode="&quot;On&quot;;&quot;On&quot;;&quot;Off&quot;"/>
    <numFmt numFmtId="177" formatCode="[$€-2]\ #,##0.00_);[Red]\([$€-2]\ #,##0.00\)"/>
    <numFmt numFmtId="178" formatCode="_(&quot;$&quot;* #,##0.0000_);_(&quot;$&quot;* \(#,##0.0000\);_(&quot;$&quot;* &quot;-&quot;????_);_(@_)"/>
    <numFmt numFmtId="179" formatCode="&quot;$&quot;#,##0.000"/>
    <numFmt numFmtId="180" formatCode="0.00000"/>
    <numFmt numFmtId="181" formatCode="0.0000"/>
    <numFmt numFmtId="182" formatCode="0.000"/>
    <numFmt numFmtId="183" formatCode="0.0000000"/>
    <numFmt numFmtId="184" formatCode="0.000000"/>
    <numFmt numFmtId="185" formatCode="&quot;$&quot;#,##0.0_);[Red]\(&quot;$&quot;#,##0.0\)"/>
    <numFmt numFmtId="186" formatCode="#,##0.0000000"/>
    <numFmt numFmtId="187" formatCode="&quot;$&quot;#,##0.0000"/>
    <numFmt numFmtId="188" formatCode="&quot;$&quot;#,##0.00000"/>
    <numFmt numFmtId="189" formatCode="&quot;$&quot;#,##0.000000"/>
    <numFmt numFmtId="190" formatCode="0.000000%"/>
    <numFmt numFmtId="191" formatCode="0.000%"/>
    <numFmt numFmtId="192" formatCode="0.0000%"/>
    <numFmt numFmtId="193" formatCode="0.00000%"/>
    <numFmt numFmtId="194" formatCode="0.0000000%"/>
  </numFmts>
  <fonts count="50">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sz val="10"/>
      <color indexed="10"/>
      <name val="Univers"/>
      <family val="2"/>
    </font>
    <font>
      <sz val="8"/>
      <name val="Univers"/>
      <family val="2"/>
    </font>
    <font>
      <i/>
      <vertAlign val="superscript"/>
      <sz val="9"/>
      <name val="Univers"/>
      <family val="2"/>
    </font>
    <font>
      <b/>
      <sz val="9"/>
      <color indexed="10"/>
      <name val="Univers"/>
      <family val="2"/>
    </font>
    <font>
      <sz val="10"/>
      <color indexed="48"/>
      <name val="Univers"/>
      <family val="2"/>
    </font>
    <font>
      <b/>
      <sz val="10"/>
      <name val="Arial"/>
      <family val="2"/>
    </font>
    <font>
      <u val="single"/>
      <sz val="10"/>
      <color indexed="12"/>
      <name val="Arial"/>
      <family val="2"/>
    </font>
    <font>
      <u val="single"/>
      <sz val="10"/>
      <color indexed="36"/>
      <name val="Arial"/>
      <family val="2"/>
    </font>
    <font>
      <u val="single"/>
      <sz val="9"/>
      <color indexed="12"/>
      <name val="Arial"/>
      <family val="2"/>
    </font>
    <font>
      <b/>
      <sz val="9"/>
      <name val="Arial"/>
      <family val="2"/>
    </font>
    <font>
      <sz val="9"/>
      <color indexed="4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Univers"/>
      <family val="2"/>
    </font>
    <font>
      <i/>
      <sz val="10"/>
      <color indexed="9"/>
      <name val="Univers"/>
      <family val="2"/>
    </font>
    <font>
      <sz val="10"/>
      <color indexed="9"/>
      <name val="Arial"/>
      <family val="2"/>
    </font>
    <font>
      <b/>
      <sz val="10"/>
      <color indexed="10"/>
      <name val="Univers"/>
      <family val="2"/>
    </font>
    <font>
      <sz val="8"/>
      <name val="Tahoma"/>
      <family val="2"/>
    </font>
    <font>
      <sz val="7"/>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2"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3">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2"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3" fillId="4" borderId="17" xfId="0" applyFont="1" applyFill="1" applyBorder="1" applyAlignment="1" applyProtection="1">
      <alignment horizontal="center" wrapText="1"/>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6"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6"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7"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7" fillId="0" borderId="19" xfId="0" applyFont="1" applyBorder="1" applyAlignment="1" applyProtection="1">
      <alignment/>
      <protection/>
    </xf>
    <xf numFmtId="0" fontId="11" fillId="4" borderId="11" xfId="0" applyFont="1" applyFill="1" applyBorder="1" applyAlignment="1" applyProtection="1">
      <alignment/>
      <protection/>
    </xf>
    <xf numFmtId="0" fontId="7"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6" fontId="1" fillId="20" borderId="21" xfId="0" applyNumberFormat="1" applyFont="1" applyFill="1" applyBorder="1" applyAlignment="1" applyProtection="1">
      <alignment/>
      <protection locked="0"/>
    </xf>
    <xf numFmtId="164" fontId="1" fillId="20" borderId="21"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7" fillId="4" borderId="0" xfId="0" applyNumberFormat="1" applyFont="1" applyFill="1" applyBorder="1" applyAlignment="1" applyProtection="1">
      <alignment horizontal="right"/>
      <protection/>
    </xf>
    <xf numFmtId="0" fontId="1" fillId="7" borderId="0" xfId="0" applyFont="1" applyFill="1" applyBorder="1" applyAlignment="1" applyProtection="1">
      <alignment horizontal="center" vertical="center" wrapText="1"/>
      <protection/>
    </xf>
    <xf numFmtId="0" fontId="16" fillId="7" borderId="11" xfId="0" applyFont="1" applyFill="1" applyBorder="1" applyAlignment="1" applyProtection="1">
      <alignment vertical="center"/>
      <protection locked="0"/>
    </xf>
    <xf numFmtId="0" fontId="1" fillId="0" borderId="18" xfId="0" applyFont="1" applyBorder="1" applyAlignment="1" applyProtection="1">
      <alignment horizontal="left" indent="2"/>
      <protection/>
    </xf>
    <xf numFmtId="0" fontId="1" fillId="0" borderId="12" xfId="0" applyFont="1" applyFill="1" applyBorder="1" applyAlignment="1" applyProtection="1">
      <alignment/>
      <protection/>
    </xf>
    <xf numFmtId="6" fontId="1" fillId="0" borderId="11" xfId="0" applyNumberFormat="1" applyFont="1" applyFill="1" applyBorder="1" applyAlignment="1" applyProtection="1">
      <alignment horizontal="right"/>
      <protection/>
    </xf>
    <xf numFmtId="166" fontId="17" fillId="7" borderId="0" xfId="0" applyNumberFormat="1" applyFont="1" applyFill="1" applyBorder="1" applyAlignment="1" applyProtection="1">
      <alignment/>
      <protection/>
    </xf>
    <xf numFmtId="0" fontId="1" fillId="0" borderId="0" xfId="0" applyFont="1" applyBorder="1" applyAlignment="1" applyProtection="1">
      <alignment/>
      <protection/>
    </xf>
    <xf numFmtId="172" fontId="2" fillId="0" borderId="0" xfId="0" applyNumberFormat="1" applyFont="1" applyAlignment="1" applyProtection="1">
      <alignment/>
      <protection/>
    </xf>
    <xf numFmtId="0" fontId="1" fillId="0" borderId="0" xfId="0" applyFont="1" applyBorder="1" applyAlignment="1" applyProtection="1">
      <alignment/>
      <protection/>
    </xf>
    <xf numFmtId="0" fontId="1" fillId="0"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1" fillId="0" borderId="0" xfId="0" applyFont="1" applyBorder="1" applyAlignment="1" applyProtection="1">
      <alignment horizontal="right"/>
      <protection/>
    </xf>
    <xf numFmtId="0" fontId="1" fillId="0" borderId="0" xfId="0" applyFont="1" applyFill="1" applyBorder="1" applyAlignment="1" applyProtection="1">
      <alignment horizontal="right"/>
      <protection/>
    </xf>
    <xf numFmtId="0" fontId="3" fillId="0" borderId="18" xfId="0" applyFont="1" applyBorder="1" applyAlignment="1" applyProtection="1">
      <alignment horizontal="left" indent="1"/>
      <protection/>
    </xf>
    <xf numFmtId="0" fontId="1" fillId="0" borderId="0" xfId="0" applyFont="1" applyFill="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Alignment="1" applyProtection="1">
      <alignment vertical="top"/>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3" fontId="2" fillId="4" borderId="0" xfId="0" applyNumberFormat="1" applyFont="1" applyFill="1" applyBorder="1" applyAlignment="1" applyProtection="1">
      <alignment horizontal="left" indent="1"/>
      <protection/>
    </xf>
    <xf numFmtId="166" fontId="1" fillId="20" borderId="21" xfId="0" applyNumberFormat="1" applyFont="1" applyFill="1" applyBorder="1" applyAlignment="1" applyProtection="1">
      <alignment horizontal="right"/>
      <protection locked="0"/>
    </xf>
    <xf numFmtId="0" fontId="19" fillId="0" borderId="0" xfId="0" applyFont="1" applyAlignment="1" applyProtection="1">
      <alignment/>
      <protection/>
    </xf>
    <xf numFmtId="173" fontId="1" fillId="20" borderId="22" xfId="0" applyNumberFormat="1" applyFont="1" applyFill="1" applyBorder="1" applyAlignment="1" applyProtection="1">
      <alignment/>
      <protection locked="0"/>
    </xf>
    <xf numFmtId="1" fontId="1" fillId="0" borderId="11" xfId="0" applyNumberFormat="1" applyFont="1" applyBorder="1" applyAlignment="1">
      <alignment horizontal="right"/>
    </xf>
    <xf numFmtId="0" fontId="1" fillId="7" borderId="11" xfId="0" applyFont="1" applyFill="1" applyBorder="1" applyAlignment="1" applyProtection="1">
      <alignment horizontal="left"/>
      <protection/>
    </xf>
    <xf numFmtId="0" fontId="3" fillId="0" borderId="18" xfId="0" applyFont="1" applyFill="1" applyBorder="1" applyAlignment="1" applyProtection="1">
      <alignment horizontal="left" indent="1"/>
      <protection/>
    </xf>
    <xf numFmtId="0" fontId="1" fillId="0" borderId="18" xfId="0" applyFont="1" applyFill="1" applyBorder="1" applyAlignment="1">
      <alignment horizontal="left" indent="3"/>
    </xf>
    <xf numFmtId="0" fontId="7" fillId="0" borderId="18" xfId="0" applyFont="1" applyBorder="1" applyAlignment="1" applyProtection="1">
      <alignment/>
      <protection/>
    </xf>
    <xf numFmtId="0" fontId="1" fillId="0" borderId="18" xfId="0" applyFont="1" applyBorder="1" applyAlignment="1" applyProtection="1">
      <alignment horizontal="left" vertical="top" indent="1"/>
      <protection/>
    </xf>
    <xf numFmtId="0" fontId="1" fillId="4" borderId="11" xfId="0" applyFont="1" applyFill="1" applyBorder="1" applyAlignment="1" applyProtection="1">
      <alignment horizontal="right"/>
      <protection/>
    </xf>
    <xf numFmtId="0" fontId="6" fillId="0" borderId="12" xfId="0" applyFont="1" applyFill="1" applyBorder="1" applyAlignment="1" applyProtection="1">
      <alignment horizontal="center"/>
      <protection/>
    </xf>
    <xf numFmtId="0" fontId="7" fillId="0" borderId="13" xfId="0" applyFont="1" applyBorder="1" applyAlignment="1" applyProtection="1">
      <alignment/>
      <protection/>
    </xf>
    <xf numFmtId="0" fontId="3" fillId="0" borderId="15" xfId="0" applyFont="1" applyFill="1" applyBorder="1" applyAlignment="1" applyProtection="1">
      <alignment/>
      <protection/>
    </xf>
    <xf numFmtId="0" fontId="1" fillId="7" borderId="0" xfId="0" applyNumberFormat="1" applyFont="1" applyFill="1" applyBorder="1" applyAlignment="1" applyProtection="1">
      <alignment/>
      <protection locked="0"/>
    </xf>
    <xf numFmtId="0" fontId="20" fillId="0" borderId="0" xfId="0" applyFont="1" applyFill="1" applyAlignment="1" applyProtection="1">
      <alignment/>
      <protection/>
    </xf>
    <xf numFmtId="0" fontId="2" fillId="0" borderId="0" xfId="0" applyFont="1" applyFill="1" applyAlignment="1" applyProtection="1">
      <alignment/>
      <protection/>
    </xf>
    <xf numFmtId="0" fontId="21" fillId="0" borderId="0" xfId="0" applyFont="1" applyAlignment="1">
      <alignment/>
    </xf>
    <xf numFmtId="0" fontId="1" fillId="4" borderId="11" xfId="0" applyFont="1" applyFill="1" applyBorder="1" applyAlignment="1" applyProtection="1">
      <alignment horizontal="left"/>
      <protection/>
    </xf>
    <xf numFmtId="0" fontId="3" fillId="4" borderId="11" xfId="0" applyFont="1" applyFill="1" applyBorder="1" applyAlignment="1" applyProtection="1">
      <alignment/>
      <protection/>
    </xf>
    <xf numFmtId="3" fontId="2" fillId="4" borderId="0" xfId="0" applyNumberFormat="1" applyFont="1" applyFill="1" applyBorder="1" applyAlignment="1" applyProtection="1">
      <alignment horizontal="center"/>
      <protection/>
    </xf>
    <xf numFmtId="166" fontId="1" fillId="4" borderId="0" xfId="0" applyNumberFormat="1" applyFont="1" applyFill="1" applyBorder="1" applyAlignment="1" applyProtection="1">
      <alignment/>
      <protection/>
    </xf>
    <xf numFmtId="0" fontId="15" fillId="0" borderId="0" xfId="0" applyFont="1" applyFill="1" applyAlignment="1" applyProtection="1">
      <alignment/>
      <protection/>
    </xf>
    <xf numFmtId="0" fontId="24" fillId="0" borderId="0" xfId="53" applyFont="1" applyAlignment="1" applyProtection="1">
      <alignment/>
      <protection/>
    </xf>
    <xf numFmtId="0" fontId="25" fillId="0" borderId="0" xfId="0" applyFont="1" applyAlignment="1">
      <alignment/>
    </xf>
    <xf numFmtId="0" fontId="13" fillId="0" borderId="0" xfId="0" applyFont="1" applyFill="1" applyAlignment="1" applyProtection="1">
      <alignment/>
      <protection/>
    </xf>
    <xf numFmtId="0" fontId="26" fillId="0" borderId="0" xfId="0" applyFont="1" applyFill="1" applyAlignment="1" applyProtection="1">
      <alignment/>
      <protection/>
    </xf>
    <xf numFmtId="0" fontId="2" fillId="0" borderId="11" xfId="0" applyFont="1" applyBorder="1" applyAlignment="1" applyProtection="1">
      <alignment/>
      <protection/>
    </xf>
    <xf numFmtId="167" fontId="7" fillId="22" borderId="0" xfId="0" applyNumberFormat="1" applyFont="1" applyFill="1" applyBorder="1" applyAlignment="1" applyProtection="1">
      <alignment/>
      <protection/>
    </xf>
    <xf numFmtId="169" fontId="7" fillId="22" borderId="0" xfId="0" applyNumberFormat="1" applyFont="1" applyFill="1" applyBorder="1" applyAlignment="1" applyProtection="1">
      <alignment/>
      <protection/>
    </xf>
    <xf numFmtId="3" fontId="7" fillId="22" borderId="0" xfId="0" applyNumberFormat="1" applyFont="1" applyFill="1" applyBorder="1" applyAlignment="1" applyProtection="1">
      <alignment/>
      <protection/>
    </xf>
    <xf numFmtId="4" fontId="7" fillId="22" borderId="0" xfId="0" applyNumberFormat="1" applyFont="1" applyFill="1" applyBorder="1" applyAlignment="1" applyProtection="1">
      <alignment/>
      <protection/>
    </xf>
    <xf numFmtId="9" fontId="7" fillId="22" borderId="0" xfId="59" applyFont="1" applyFill="1" applyBorder="1" applyAlignment="1" applyProtection="1">
      <alignment/>
      <protection/>
    </xf>
    <xf numFmtId="0" fontId="1" fillId="22" borderId="0" xfId="0" applyFont="1" applyFill="1" applyAlignment="1" applyProtection="1">
      <alignment/>
      <protection/>
    </xf>
    <xf numFmtId="167" fontId="1" fillId="4" borderId="0" xfId="0" applyNumberFormat="1" applyFont="1" applyFill="1" applyBorder="1" applyAlignment="1" applyProtection="1">
      <alignment horizontal="right"/>
      <protection/>
    </xf>
    <xf numFmtId="3" fontId="2" fillId="4" borderId="0" xfId="0" applyNumberFormat="1" applyFont="1" applyFill="1" applyBorder="1" applyAlignment="1" applyProtection="1">
      <alignment horizontal="left"/>
      <protection/>
    </xf>
    <xf numFmtId="179" fontId="1" fillId="20" borderId="22" xfId="0" applyNumberFormat="1" applyFont="1" applyFill="1" applyBorder="1" applyAlignment="1" applyProtection="1">
      <alignment/>
      <protection locked="0"/>
    </xf>
    <xf numFmtId="0" fontId="1" fillId="7" borderId="0" xfId="0" applyFont="1" applyFill="1" applyAlignment="1" applyProtection="1">
      <alignment/>
      <protection/>
    </xf>
    <xf numFmtId="3" fontId="1" fillId="4" borderId="0" xfId="0" applyNumberFormat="1" applyFont="1" applyFill="1" applyBorder="1" applyAlignment="1" applyProtection="1">
      <alignment/>
      <protection/>
    </xf>
    <xf numFmtId="0" fontId="2" fillId="4" borderId="0" xfId="0" applyFont="1" applyFill="1" applyAlignment="1" applyProtection="1">
      <alignment/>
      <protection/>
    </xf>
    <xf numFmtId="0"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xf>
    <xf numFmtId="0" fontId="1" fillId="7" borderId="0" xfId="0" applyNumberFormat="1" applyFont="1" applyFill="1" applyBorder="1" applyAlignment="1" applyProtection="1">
      <alignment/>
      <protection locked="0"/>
    </xf>
    <xf numFmtId="0" fontId="1" fillId="0" borderId="18" xfId="0" applyFont="1" applyBorder="1" applyAlignment="1" applyProtection="1">
      <alignment horizontal="left" indent="2"/>
      <protection/>
    </xf>
    <xf numFmtId="0" fontId="1" fillId="0" borderId="18" xfId="0" applyFont="1" applyFill="1" applyBorder="1" applyAlignment="1" applyProtection="1">
      <alignment/>
      <protection/>
    </xf>
    <xf numFmtId="0" fontId="1" fillId="0" borderId="12" xfId="0" applyFont="1" applyFill="1" applyBorder="1" applyAlignment="1" applyProtection="1">
      <alignment horizontal="left"/>
      <protection/>
    </xf>
    <xf numFmtId="0" fontId="1" fillId="0" borderId="18" xfId="0" applyFont="1" applyBorder="1" applyAlignment="1" applyProtection="1">
      <alignment horizontal="left" indent="4"/>
      <protection/>
    </xf>
    <xf numFmtId="0" fontId="1" fillId="0" borderId="11" xfId="0" applyFont="1" applyBorder="1" applyAlignment="1" applyProtection="1">
      <alignment horizontal="left" indent="4"/>
      <protection/>
    </xf>
    <xf numFmtId="0" fontId="1" fillId="0" borderId="11" xfId="0" applyFont="1" applyBorder="1" applyAlignment="1" applyProtection="1">
      <alignment horizontal="left" indent="4"/>
      <protection/>
    </xf>
    <xf numFmtId="0" fontId="1" fillId="0" borderId="11" xfId="0" applyFont="1" applyBorder="1" applyAlignment="1" applyProtection="1">
      <alignment/>
      <protection/>
    </xf>
    <xf numFmtId="0" fontId="7" fillId="0" borderId="11" xfId="0" applyFont="1" applyFill="1" applyBorder="1" applyAlignment="1" applyProtection="1">
      <alignment/>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protection/>
    </xf>
    <xf numFmtId="0" fontId="1" fillId="0" borderId="11" xfId="0" applyNumberFormat="1" applyFont="1" applyFill="1" applyBorder="1" applyAlignment="1" applyProtection="1">
      <alignment horizontal="right"/>
      <protection/>
    </xf>
    <xf numFmtId="0" fontId="1" fillId="0" borderId="12" xfId="0" applyFont="1" applyBorder="1" applyAlignment="1" applyProtection="1">
      <alignment/>
      <protection/>
    </xf>
    <xf numFmtId="3" fontId="1" fillId="0" borderId="11" xfId="0" applyNumberFormat="1" applyFont="1" applyFill="1" applyBorder="1" applyAlignment="1" applyProtection="1">
      <alignment horizontal="right"/>
      <protection/>
    </xf>
    <xf numFmtId="0" fontId="1" fillId="0" borderId="18" xfId="0" applyFont="1" applyBorder="1" applyAlignment="1">
      <alignment horizontal="left" indent="2"/>
    </xf>
    <xf numFmtId="0" fontId="1" fillId="0" borderId="18" xfId="0" applyFont="1" applyFill="1" applyBorder="1" applyAlignment="1">
      <alignment horizontal="left" indent="2"/>
    </xf>
    <xf numFmtId="9" fontId="1" fillId="0" borderId="11" xfId="0" applyNumberFormat="1" applyFont="1" applyFill="1" applyBorder="1" applyAlignment="1" applyProtection="1">
      <alignment horizontal="right"/>
      <protection/>
    </xf>
    <xf numFmtId="0" fontId="1" fillId="0" borderId="18"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179" fontId="1" fillId="0" borderId="11" xfId="0" applyNumberFormat="1" applyFont="1" applyFill="1" applyBorder="1" applyAlignment="1" applyProtection="1">
      <alignment horizontal="right"/>
      <protection/>
    </xf>
    <xf numFmtId="0" fontId="1" fillId="0" borderId="18" xfId="0" applyFont="1" applyFill="1" applyBorder="1" applyAlignment="1" applyProtection="1">
      <alignment wrapText="1"/>
      <protection/>
    </xf>
    <xf numFmtId="0" fontId="1" fillId="0" borderId="12" xfId="0" applyFont="1" applyFill="1" applyBorder="1" applyAlignment="1" applyProtection="1">
      <alignment wrapText="1"/>
      <protection/>
    </xf>
    <xf numFmtId="0" fontId="1" fillId="4" borderId="0" xfId="0" applyFont="1" applyFill="1" applyAlignment="1" applyProtection="1">
      <alignment/>
      <protection/>
    </xf>
    <xf numFmtId="0" fontId="1" fillId="0" borderId="0" xfId="0" applyFont="1" applyFill="1" applyAlignment="1" applyProtection="1">
      <alignment horizontal="left"/>
      <protection/>
    </xf>
    <xf numFmtId="0" fontId="1" fillId="0" borderId="11" xfId="0" applyFont="1" applyBorder="1" applyAlignment="1">
      <alignment horizontal="left" indent="2"/>
    </xf>
    <xf numFmtId="0" fontId="1" fillId="0" borderId="11" xfId="0" applyFont="1" applyFill="1" applyBorder="1" applyAlignment="1">
      <alignment horizontal="left" indent="2"/>
    </xf>
    <xf numFmtId="1" fontId="1" fillId="0" borderId="11" xfId="0" applyNumberFormat="1" applyFont="1" applyFill="1" applyBorder="1" applyAlignment="1">
      <alignment horizontal="right"/>
    </xf>
    <xf numFmtId="1" fontId="1" fillId="0" borderId="11" xfId="0" applyNumberFormat="1" applyFont="1" applyFill="1" applyBorder="1" applyAlignment="1" applyProtection="1">
      <alignment/>
      <protection/>
    </xf>
    <xf numFmtId="1" fontId="1" fillId="0" borderId="11" xfId="0" applyNumberFormat="1" applyFont="1" applyFill="1" applyBorder="1" applyAlignment="1" applyProtection="1">
      <alignment horizontal="right"/>
      <protection/>
    </xf>
    <xf numFmtId="1" fontId="1" fillId="20" borderId="21" xfId="0" applyNumberFormat="1" applyFont="1" applyFill="1" applyBorder="1" applyAlignment="1" applyProtection="1">
      <alignment/>
      <protection locked="0"/>
    </xf>
    <xf numFmtId="0" fontId="1" fillId="0" borderId="11" xfId="0" applyFont="1" applyFill="1" applyBorder="1" applyAlignment="1" applyProtection="1">
      <alignment vertical="top"/>
      <protection/>
    </xf>
    <xf numFmtId="167" fontId="2" fillId="4" borderId="0" xfId="0" applyNumberFormat="1" applyFont="1" applyFill="1" applyBorder="1" applyAlignment="1" applyProtection="1">
      <alignment/>
      <protection/>
    </xf>
    <xf numFmtId="167" fontId="1" fillId="0" borderId="11" xfId="0" applyNumberFormat="1"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20" borderId="21" xfId="0" applyNumberFormat="1" applyFont="1" applyFill="1" applyBorder="1" applyAlignment="1" applyProtection="1">
      <alignment/>
      <protection locked="0"/>
    </xf>
    <xf numFmtId="0" fontId="44" fillId="0" borderId="0" xfId="0" applyFont="1" applyBorder="1" applyAlignment="1" applyProtection="1">
      <alignment horizontal="right"/>
      <protection/>
    </xf>
    <xf numFmtId="0" fontId="44" fillId="0" borderId="0" xfId="0" applyFont="1" applyBorder="1" applyAlignment="1" applyProtection="1">
      <alignment/>
      <protection/>
    </xf>
    <xf numFmtId="0" fontId="44" fillId="0" borderId="0" xfId="0" applyFont="1" applyFill="1" applyBorder="1" applyAlignment="1" applyProtection="1">
      <alignment horizontal="right"/>
      <protection/>
    </xf>
    <xf numFmtId="194" fontId="44" fillId="0" borderId="0" xfId="0" applyNumberFormat="1" applyFont="1" applyBorder="1" applyAlignment="1" applyProtection="1">
      <alignment horizontal="left"/>
      <protection/>
    </xf>
    <xf numFmtId="190" fontId="45" fillId="0" borderId="0" xfId="0" applyNumberFormat="1" applyFont="1" applyAlignment="1" applyProtection="1">
      <alignment horizontal="left"/>
      <protection/>
    </xf>
    <xf numFmtId="0" fontId="44" fillId="0" borderId="0" xfId="0" applyFont="1" applyFill="1" applyAlignment="1" applyProtection="1">
      <alignment/>
      <protection/>
    </xf>
    <xf numFmtId="0" fontId="45" fillId="0" borderId="0" xfId="0" applyFont="1" applyAlignment="1" applyProtection="1">
      <alignment horizontal="right"/>
      <protection/>
    </xf>
    <xf numFmtId="0" fontId="44" fillId="0" borderId="0" xfId="0" applyFont="1" applyFill="1" applyBorder="1" applyAlignment="1" applyProtection="1">
      <alignment/>
      <protection/>
    </xf>
    <xf numFmtId="0" fontId="44" fillId="0" borderId="0" xfId="0" applyFont="1" applyBorder="1" applyAlignment="1" applyProtection="1">
      <alignment horizontal="center"/>
      <protection/>
    </xf>
    <xf numFmtId="0" fontId="46" fillId="0" borderId="0" xfId="0" applyFont="1" applyBorder="1" applyAlignment="1">
      <alignment horizontal="center" wrapText="1"/>
    </xf>
    <xf numFmtId="0" fontId="46" fillId="0" borderId="0" xfId="0" applyFont="1" applyBorder="1" applyAlignment="1">
      <alignment horizontal="left"/>
    </xf>
    <xf numFmtId="0" fontId="46" fillId="0" borderId="0" xfId="0" applyFont="1" applyBorder="1" applyAlignment="1">
      <alignment horizontal="center"/>
    </xf>
    <xf numFmtId="0" fontId="45" fillId="0" borderId="0" xfId="0" applyFont="1" applyBorder="1" applyAlignment="1" applyProtection="1">
      <alignment horizontal="right"/>
      <protection/>
    </xf>
    <xf numFmtId="0" fontId="44" fillId="0" borderId="0" xfId="0" applyFont="1" applyBorder="1" applyAlignment="1" applyProtection="1">
      <alignment horizontal="center" vertical="top"/>
      <protection/>
    </xf>
    <xf numFmtId="0" fontId="18" fillId="0" borderId="0" xfId="0" applyFont="1" applyBorder="1" applyAlignment="1" applyProtection="1">
      <alignment wrapText="1"/>
      <protection/>
    </xf>
    <xf numFmtId="0" fontId="47" fillId="0" borderId="0" xfId="0" applyFont="1" applyBorder="1" applyAlignment="1" applyProtection="1">
      <alignment horizontal="right"/>
      <protection/>
    </xf>
    <xf numFmtId="0" fontId="47" fillId="0" borderId="0" xfId="0" applyFont="1" applyBorder="1" applyAlignment="1" applyProtection="1">
      <alignment/>
      <protection/>
    </xf>
    <xf numFmtId="0" fontId="16" fillId="0" borderId="0" xfId="0" applyFont="1" applyBorder="1" applyAlignment="1" applyProtection="1">
      <alignment horizontal="right"/>
      <protection/>
    </xf>
    <xf numFmtId="0" fontId="16" fillId="0" borderId="0" xfId="0" applyFont="1" applyBorder="1" applyAlignment="1" applyProtection="1">
      <alignment/>
      <protection/>
    </xf>
    <xf numFmtId="171" fontId="1" fillId="0" borderId="0" xfId="0" applyNumberFormat="1" applyFont="1" applyAlignment="1" applyProtection="1">
      <alignment/>
      <protection/>
    </xf>
    <xf numFmtId="0" fontId="44" fillId="0" borderId="0" xfId="0" applyFont="1" applyBorder="1" applyAlignment="1" applyProtection="1">
      <alignment/>
      <protection/>
    </xf>
    <xf numFmtId="0" fontId="44" fillId="0" borderId="0" xfId="0" applyFont="1" applyBorder="1" applyAlignment="1">
      <alignment horizontal="right"/>
    </xf>
    <xf numFmtId="0" fontId="44" fillId="0" borderId="0" xfId="0" applyFont="1" applyBorder="1" applyAlignment="1">
      <alignment horizontal="left"/>
    </xf>
    <xf numFmtId="1" fontId="44" fillId="0" borderId="0" xfId="0" applyNumberFormat="1" applyFont="1" applyBorder="1" applyAlignment="1">
      <alignment horizontal="right"/>
    </xf>
    <xf numFmtId="1" fontId="44" fillId="0" borderId="0" xfId="0" applyNumberFormat="1" applyFont="1" applyBorder="1" applyAlignment="1" applyProtection="1">
      <alignment/>
      <protection/>
    </xf>
    <xf numFmtId="0" fontId="44" fillId="0" borderId="0" xfId="0" applyFont="1" applyBorder="1" applyAlignment="1">
      <alignment horizontal="right" wrapText="1"/>
    </xf>
    <xf numFmtId="0" fontId="44" fillId="0" borderId="0" xfId="0" applyFont="1" applyFill="1" applyBorder="1" applyAlignment="1">
      <alignment/>
    </xf>
    <xf numFmtId="0" fontId="44" fillId="0" borderId="0" xfId="0" applyFont="1" applyBorder="1" applyAlignment="1">
      <alignment/>
    </xf>
    <xf numFmtId="0" fontId="46" fillId="0" borderId="0" xfId="0" applyFont="1" applyBorder="1" applyAlignment="1">
      <alignment/>
    </xf>
    <xf numFmtId="0" fontId="44" fillId="0" borderId="0" xfId="0" applyFont="1" applyFill="1" applyBorder="1" applyAlignment="1" applyProtection="1">
      <alignment horizontal="right" vertical="top"/>
      <protection/>
    </xf>
    <xf numFmtId="1" fontId="1" fillId="0" borderId="11" xfId="0" applyNumberFormat="1" applyFont="1" applyFill="1" applyBorder="1" applyAlignment="1" applyProtection="1">
      <alignment/>
      <protection/>
    </xf>
    <xf numFmtId="178" fontId="1" fillId="0" borderId="11" xfId="0" applyNumberFormat="1" applyFont="1" applyFill="1" applyBorder="1" applyAlignment="1" applyProtection="1">
      <alignment horizontal="right"/>
      <protection/>
    </xf>
    <xf numFmtId="0" fontId="1" fillId="0" borderId="12" xfId="0" applyFont="1" applyFill="1" applyBorder="1" applyAlignment="1" applyProtection="1">
      <alignment/>
      <protection/>
    </xf>
    <xf numFmtId="3" fontId="1" fillId="0" borderId="13"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ill="1" applyAlignment="1">
      <alignment horizontal="left"/>
    </xf>
    <xf numFmtId="0" fontId="7" fillId="7" borderId="14" xfId="0" applyFont="1" applyFill="1" applyBorder="1" applyAlignment="1" applyProtection="1">
      <alignment horizontal="center" wrapText="1"/>
      <protection/>
    </xf>
    <xf numFmtId="167" fontId="1" fillId="4" borderId="0" xfId="0" applyNumberFormat="1" applyFont="1" applyFill="1" applyBorder="1" applyAlignment="1" applyProtection="1">
      <alignment horizontal="right"/>
      <protection/>
    </xf>
    <xf numFmtId="0" fontId="7" fillId="7" borderId="14" xfId="0" applyFont="1" applyFill="1" applyBorder="1" applyAlignment="1" applyProtection="1">
      <alignment horizontal="center" vertical="top" wrapText="1"/>
      <protection/>
    </xf>
    <xf numFmtId="0" fontId="3" fillId="7" borderId="0" xfId="0" applyFont="1" applyFill="1" applyBorder="1" applyAlignment="1" applyProtection="1">
      <alignment horizontal="center" wrapText="1"/>
      <protection/>
    </xf>
    <xf numFmtId="0" fontId="15" fillId="0" borderId="17" xfId="0" applyFont="1" applyBorder="1" applyAlignment="1" applyProtection="1">
      <alignment wrapText="1"/>
      <protection/>
    </xf>
    <xf numFmtId="3" fontId="2" fillId="4" borderId="0" xfId="0" applyNumberFormat="1" applyFont="1" applyFill="1" applyBorder="1" applyAlignment="1" applyProtection="1">
      <alignment horizontal="left"/>
      <protection/>
    </xf>
    <xf numFmtId="0" fontId="7" fillId="4" borderId="23" xfId="0" applyFont="1" applyFill="1" applyBorder="1" applyAlignment="1" applyProtection="1">
      <alignment horizontal="center" wrapText="1"/>
      <protection/>
    </xf>
    <xf numFmtId="0" fontId="19" fillId="4" borderId="11" xfId="0" applyFont="1" applyFill="1" applyBorder="1" applyAlignment="1" applyProtection="1">
      <alignment wrapText="1"/>
      <protection/>
    </xf>
    <xf numFmtId="0" fontId="19" fillId="4" borderId="0" xfId="0" applyFont="1" applyFill="1" applyBorder="1" applyAlignment="1" applyProtection="1">
      <alignment wrapText="1"/>
      <protection/>
    </xf>
    <xf numFmtId="0" fontId="19" fillId="4" borderId="12" xfId="0" applyFont="1" applyFill="1" applyBorder="1" applyAlignment="1" applyProtection="1">
      <alignment wrapText="1"/>
      <protection/>
    </xf>
    <xf numFmtId="0" fontId="10" fillId="0" borderId="0" xfId="0" applyFont="1" applyAlignment="1">
      <alignment horizontal="center" wrapText="1"/>
    </xf>
    <xf numFmtId="0" fontId="2" fillId="0" borderId="0" xfId="0" applyFont="1" applyFill="1" applyBorder="1" applyAlignment="1" applyProtection="1">
      <alignment/>
      <protection/>
    </xf>
    <xf numFmtId="0" fontId="0" fillId="0" borderId="0" xfId="0" applyBorder="1" applyAlignment="1">
      <alignment/>
    </xf>
    <xf numFmtId="0" fontId="10" fillId="0" borderId="14" xfId="0" applyFont="1" applyBorder="1" applyAlignment="1">
      <alignment horizontal="center" wrapText="1"/>
    </xf>
    <xf numFmtId="0" fontId="13" fillId="0" borderId="17" xfId="0" applyFont="1" applyBorder="1" applyAlignment="1" applyProtection="1">
      <alignment horizontal="left" wrapText="1"/>
      <protection/>
    </xf>
    <xf numFmtId="0" fontId="14" fillId="0" borderId="17" xfId="0" applyFont="1" applyBorder="1" applyAlignment="1" applyProtection="1">
      <alignment horizontal="left" wrapText="1"/>
      <protection/>
    </xf>
    <xf numFmtId="0" fontId="14" fillId="0" borderId="0" xfId="0" applyFont="1" applyAlignment="1" applyProtection="1">
      <alignment horizontal="left"/>
      <protection/>
    </xf>
    <xf numFmtId="0" fontId="9" fillId="0" borderId="0" xfId="0" applyFont="1" applyAlignment="1">
      <alignment horizontal="center" wrapText="1"/>
    </xf>
    <xf numFmtId="0" fontId="1" fillId="0" borderId="0" xfId="0" applyFont="1" applyAlignment="1">
      <alignment horizontal="left" wrapText="1"/>
    </xf>
    <xf numFmtId="0" fontId="46" fillId="0" borderId="0" xfId="0" applyFont="1" applyBorder="1" applyAlignment="1">
      <alignment horizontal="left" wrapText="1"/>
    </xf>
    <xf numFmtId="0" fontId="6" fillId="0" borderId="16" xfId="0" applyFont="1" applyBorder="1" applyAlignment="1" applyProtection="1">
      <alignment horizontal="center"/>
      <protection/>
    </xf>
    <xf numFmtId="0" fontId="6" fillId="0" borderId="17" xfId="0" applyFont="1" applyBorder="1" applyAlignment="1" applyProtection="1">
      <alignment horizontal="center"/>
      <protection/>
    </xf>
    <xf numFmtId="0" fontId="6" fillId="0" borderId="10" xfId="0" applyFont="1" applyBorder="1" applyAlignment="1" applyProtection="1">
      <alignment horizontal="center"/>
      <protection/>
    </xf>
    <xf numFmtId="0" fontId="3" fillId="0" borderId="14" xfId="0" applyFont="1" applyFill="1" applyBorder="1" applyAlignment="1" applyProtection="1">
      <alignment horizontal="center"/>
      <protection/>
    </xf>
    <xf numFmtId="0" fontId="44" fillId="0" borderId="0" xfId="0" applyFont="1" applyBorder="1" applyAlignment="1" applyProtection="1">
      <alignment horizontal="center"/>
      <protection/>
    </xf>
    <xf numFmtId="0" fontId="31"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296150" cy="885825"/>
        </a:xfrm>
        <a:prstGeom prst="rect">
          <a:avLst/>
        </a:prstGeom>
        <a:noFill/>
        <a:ln w="9525" cmpd="sng">
          <a:noFill/>
        </a:ln>
      </xdr:spPr>
    </xdr:pic>
    <xdr:clientData/>
  </xdr:twoCellAnchor>
  <xdr:twoCellAnchor>
    <xdr:from>
      <xdr:col>0</xdr:col>
      <xdr:colOff>38100</xdr:colOff>
      <xdr:row>16</xdr:row>
      <xdr:rowOff>19050</xdr:rowOff>
    </xdr:from>
    <xdr:to>
      <xdr:col>0</xdr:col>
      <xdr:colOff>2466975</xdr:colOff>
      <xdr:row>17</xdr:row>
      <xdr:rowOff>133350</xdr:rowOff>
    </xdr:to>
    <xdr:sp>
      <xdr:nvSpPr>
        <xdr:cNvPr id="2" name="AutoShape 84"/>
        <xdr:cNvSpPr>
          <a:spLocks/>
        </xdr:cNvSpPr>
      </xdr:nvSpPr>
      <xdr:spPr>
        <a:xfrm>
          <a:off x="38100" y="3286125"/>
          <a:ext cx="2428875" cy="314325"/>
        </a:xfrm>
        <a:prstGeom prst="rightArrow">
          <a:avLst>
            <a:gd name="adj1" fmla="val 293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the type of</a:t>
          </a:r>
          <a:r>
            <a:rPr lang="en-US" cap="none" sz="700" b="0" i="0" u="none" baseline="0">
              <a:solidFill>
                <a:srgbClr val="000000"/>
              </a:solidFill>
              <a:latin typeface="Arial"/>
              <a:ea typeface="Arial"/>
              <a:cs typeface="Arial"/>
            </a:rPr>
            <a:t> Ice Machine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O74"/>
  <sheetViews>
    <sheetView tabSelected="1" zoomScalePageLayoutView="0" workbookViewId="0" topLeftCell="A1">
      <selection activeCell="O6" sqref="O6"/>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7109375" style="1" customWidth="1"/>
    <col min="7" max="7" width="12.7109375" style="1" customWidth="1"/>
    <col min="8" max="8" width="2.57421875" style="1" customWidth="1"/>
    <col min="9" max="9" width="4.7109375" style="1" customWidth="1"/>
    <col min="10" max="10" width="4.140625" style="1" customWidth="1"/>
    <col min="11" max="11" width="8.85156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234" t="s">
        <v>0</v>
      </c>
      <c r="B7" s="234"/>
      <c r="C7" s="234"/>
      <c r="D7" s="234"/>
      <c r="E7" s="234"/>
      <c r="F7" s="234"/>
      <c r="G7" s="234"/>
      <c r="H7" s="234"/>
      <c r="I7" s="234"/>
      <c r="J7" s="234"/>
      <c r="K7" s="234"/>
      <c r="L7" s="234"/>
      <c r="M7" s="234"/>
    </row>
    <row r="8" spans="1:13" ht="15.75" customHeight="1">
      <c r="A8" s="234" t="str">
        <f>""&amp;C14&amp;" ENERGY STAR Qualified Commercial Ice Machine(s)"</f>
        <v>20 ENERGY STAR Qualified Commercial Ice Machine(s)</v>
      </c>
      <c r="B8" s="234"/>
      <c r="C8" s="234"/>
      <c r="D8" s="234"/>
      <c r="E8" s="234"/>
      <c r="F8" s="234"/>
      <c r="G8" s="234"/>
      <c r="H8" s="234"/>
      <c r="I8" s="234"/>
      <c r="J8" s="234"/>
      <c r="K8" s="234"/>
      <c r="L8" s="234"/>
      <c r="M8" s="234"/>
    </row>
    <row r="9" spans="1:13" s="3" customFormat="1" ht="12.75">
      <c r="A9" s="2"/>
      <c r="B9" s="2"/>
      <c r="C9" s="2"/>
      <c r="D9" s="2"/>
      <c r="E9" s="2"/>
      <c r="F9" s="2"/>
      <c r="G9" s="2"/>
      <c r="H9" s="2"/>
      <c r="I9" s="2"/>
      <c r="J9" s="2"/>
      <c r="K9" s="2"/>
      <c r="L9" s="2"/>
      <c r="M9" s="2"/>
    </row>
    <row r="10" spans="1:13" s="3" customFormat="1" ht="24" customHeight="1">
      <c r="A10" s="235" t="s">
        <v>1</v>
      </c>
      <c r="B10" s="235"/>
      <c r="C10" s="235"/>
      <c r="D10" s="235"/>
      <c r="E10" s="235"/>
      <c r="F10" s="235"/>
      <c r="G10" s="235"/>
      <c r="H10" s="235"/>
      <c r="I10" s="235"/>
      <c r="J10" s="235"/>
      <c r="K10" s="235"/>
      <c r="L10" s="235"/>
      <c r="M10" s="235"/>
    </row>
    <row r="11" spans="1:13" s="3" customFormat="1" ht="24.75" customHeight="1">
      <c r="A11" s="2"/>
      <c r="B11" s="2"/>
      <c r="C11" s="2"/>
      <c r="D11" s="2"/>
      <c r="E11" s="2"/>
      <c r="F11" s="2"/>
      <c r="G11" s="2"/>
      <c r="H11" s="2"/>
      <c r="I11" s="2"/>
      <c r="J11" s="2"/>
      <c r="K11" s="2"/>
      <c r="L11" s="2"/>
      <c r="M11" s="2"/>
    </row>
    <row r="12" spans="1:13" ht="15.75">
      <c r="A12" s="227" t="s">
        <v>2</v>
      </c>
      <c r="B12" s="227"/>
      <c r="C12" s="227"/>
      <c r="D12" s="227"/>
      <c r="E12" s="227"/>
      <c r="F12" s="227"/>
      <c r="G12" s="227"/>
      <c r="H12" s="227"/>
      <c r="I12" s="227"/>
      <c r="J12" s="227"/>
      <c r="K12" s="227"/>
      <c r="L12" s="227"/>
      <c r="M12" s="227"/>
    </row>
    <row r="13" spans="1:13" ht="4.5" customHeight="1" thickBot="1">
      <c r="A13" s="36"/>
      <c r="B13" s="37"/>
      <c r="C13" s="37"/>
      <c r="D13" s="37"/>
      <c r="E13" s="37"/>
      <c r="F13" s="37"/>
      <c r="G13" s="37"/>
      <c r="H13" s="37"/>
      <c r="I13" s="37"/>
      <c r="J13" s="37"/>
      <c r="K13" s="37"/>
      <c r="L13" s="37"/>
      <c r="M13" s="4"/>
    </row>
    <row r="14" spans="1:14" ht="15.75" customHeight="1" thickBot="1">
      <c r="A14" s="5" t="s">
        <v>3</v>
      </c>
      <c r="B14" s="6"/>
      <c r="C14" s="75">
        <v>20</v>
      </c>
      <c r="D14" s="7"/>
      <c r="E14" s="7"/>
      <c r="F14" s="7"/>
      <c r="G14" s="7"/>
      <c r="H14" s="7"/>
      <c r="I14" s="7"/>
      <c r="J14" s="7"/>
      <c r="K14" s="7"/>
      <c r="L14" s="7"/>
      <c r="M14" s="8"/>
      <c r="N14" s="9"/>
    </row>
    <row r="15" spans="1:13" ht="15.75" customHeight="1" thickBot="1">
      <c r="A15" s="10" t="s">
        <v>4</v>
      </c>
      <c r="B15" s="6"/>
      <c r="C15" s="105">
        <f>Assumptions!B62</f>
        <v>0.0952</v>
      </c>
      <c r="D15" s="7"/>
      <c r="E15" s="7"/>
      <c r="F15" s="7"/>
      <c r="G15" s="7"/>
      <c r="H15" s="7"/>
      <c r="I15" s="7"/>
      <c r="J15" s="7"/>
      <c r="K15" s="7"/>
      <c r="L15" s="7"/>
      <c r="M15" s="8"/>
    </row>
    <row r="16" spans="1:13" ht="15.75" customHeight="1" thickBot="1">
      <c r="A16" s="10" t="s">
        <v>75</v>
      </c>
      <c r="B16" s="6"/>
      <c r="C16" s="138">
        <f>Assumptions!B64</f>
        <v>4.158</v>
      </c>
      <c r="D16" s="6"/>
      <c r="E16" s="139"/>
      <c r="F16" s="7"/>
      <c r="G16" s="7"/>
      <c r="H16" s="7"/>
      <c r="I16" s="7"/>
      <c r="J16" s="7"/>
      <c r="K16" s="7"/>
      <c r="L16" s="7"/>
      <c r="M16" s="8"/>
    </row>
    <row r="17" spans="1:13" ht="15.75" customHeight="1">
      <c r="A17" s="10"/>
      <c r="B17" s="6"/>
      <c r="C17" s="116"/>
      <c r="D17" s="7"/>
      <c r="E17" s="7"/>
      <c r="F17" s="7"/>
      <c r="G17" s="7"/>
      <c r="H17" s="7"/>
      <c r="I17" s="7"/>
      <c r="J17" s="7"/>
      <c r="K17" s="7"/>
      <c r="L17" s="7"/>
      <c r="M17" s="8"/>
    </row>
    <row r="18" spans="1:14" ht="12" customHeight="1">
      <c r="A18" s="11"/>
      <c r="B18" s="6"/>
      <c r="C18" s="12"/>
      <c r="D18" s="7"/>
      <c r="E18" s="7"/>
      <c r="F18" s="7"/>
      <c r="G18" s="7"/>
      <c r="H18" s="7"/>
      <c r="I18" s="7"/>
      <c r="J18" s="7"/>
      <c r="K18" s="7"/>
      <c r="L18" s="7"/>
      <c r="M18" s="8"/>
      <c r="N18" s="9"/>
    </row>
    <row r="19" spans="1:13" ht="28.5" customHeight="1">
      <c r="A19" s="44"/>
      <c r="B19" s="217" t="s">
        <v>5</v>
      </c>
      <c r="C19" s="217"/>
      <c r="D19" s="217"/>
      <c r="E19" s="38"/>
      <c r="F19" s="219" t="s">
        <v>6</v>
      </c>
      <c r="G19" s="219"/>
      <c r="H19" s="219"/>
      <c r="I19" s="38"/>
      <c r="J19" s="220"/>
      <c r="K19" s="220"/>
      <c r="L19" s="220"/>
      <c r="M19" s="8"/>
    </row>
    <row r="20" spans="1:13" ht="9.75" customHeight="1" thickBot="1">
      <c r="A20" s="80"/>
      <c r="B20" s="38"/>
      <c r="C20" s="38"/>
      <c r="D20" s="38"/>
      <c r="E20" s="38"/>
      <c r="F20" s="38"/>
      <c r="G20" s="79"/>
      <c r="H20" s="38"/>
      <c r="I20" s="38"/>
      <c r="J20" s="38"/>
      <c r="K20" s="38"/>
      <c r="L20" s="38"/>
      <c r="M20" s="8"/>
    </row>
    <row r="21" spans="1:13" ht="15.75" customHeight="1" thickBot="1">
      <c r="A21" s="5" t="s">
        <v>7</v>
      </c>
      <c r="B21" s="7"/>
      <c r="C21" s="74">
        <f>IF(Assumptions!F7=1,Assumptions!B7,IF(Assumptions!F7=2,Assumptions!B14,Assumptions!B21))</f>
        <v>3905.0000000000005</v>
      </c>
      <c r="D21" s="13"/>
      <c r="E21" s="13"/>
      <c r="F21" s="13"/>
      <c r="G21" s="103">
        <f>IF(Assumptions!F7=1,Assumptions!B31,IF(Assumptions!F7=2,Assumptions!B38,Assumptions!B45))</f>
        <v>3550</v>
      </c>
      <c r="H21" s="13"/>
      <c r="I21" s="13"/>
      <c r="J21" s="14"/>
      <c r="K21" s="7"/>
      <c r="L21" s="13"/>
      <c r="M21" s="8"/>
    </row>
    <row r="22" spans="1:13" ht="15.75" customHeight="1" thickBot="1">
      <c r="A22" s="10" t="s">
        <v>51</v>
      </c>
      <c r="B22" s="7"/>
      <c r="C22" s="173">
        <f>IF(Assumptions!F7=1,Assumptions!B8,IF(Assumptions!F7=2,Assumptions!B15,Assumptions!B22))</f>
        <v>706</v>
      </c>
      <c r="D22" s="35"/>
      <c r="E22" s="35"/>
      <c r="F22" s="35"/>
      <c r="G22" s="173">
        <f>C22</f>
        <v>706</v>
      </c>
      <c r="H22" s="13"/>
      <c r="I22" s="84"/>
      <c r="J22" s="14"/>
      <c r="K22" s="7"/>
      <c r="L22" s="13"/>
      <c r="M22" s="8"/>
    </row>
    <row r="23" spans="1:13" ht="15.75" customHeight="1" thickBot="1">
      <c r="A23" s="10" t="s">
        <v>52</v>
      </c>
      <c r="B23" s="7"/>
      <c r="C23" s="178">
        <f>IF(Assumptions!F7=1,Assumptions!B9,IF(Assumptions!F7=2,Assumptions!B16,Assumptions!B23))</f>
        <v>19.5727272727273</v>
      </c>
      <c r="D23" s="35"/>
      <c r="E23" s="35"/>
      <c r="F23" s="35"/>
      <c r="G23" s="178">
        <f>IF(Assumptions!F7=1,Assumptions!B33,IF(Assumptions!F7=2,Assumptions!B40,Assumptions!B47))</f>
        <v>20.13525067</v>
      </c>
      <c r="H23" s="13"/>
      <c r="I23" s="13"/>
      <c r="J23" s="14"/>
      <c r="K23" s="7"/>
      <c r="L23" s="13"/>
      <c r="M23" s="8"/>
    </row>
    <row r="24" spans="1:13" ht="15.75" customHeight="1">
      <c r="A24" s="107"/>
      <c r="B24" s="7"/>
      <c r="C24" s="144"/>
      <c r="D24" s="142"/>
      <c r="E24" s="142"/>
      <c r="F24" s="142"/>
      <c r="G24" s="144"/>
      <c r="H24" s="143"/>
      <c r="I24" s="143"/>
      <c r="J24" s="14"/>
      <c r="K24" s="7"/>
      <c r="L24" s="13"/>
      <c r="M24" s="8"/>
    </row>
    <row r="25" spans="1:13" ht="4.5" customHeight="1">
      <c r="A25" s="15"/>
      <c r="B25" s="16"/>
      <c r="C25" s="72"/>
      <c r="D25" s="16"/>
      <c r="E25" s="16"/>
      <c r="F25" s="16"/>
      <c r="G25" s="73"/>
      <c r="H25" s="16"/>
      <c r="I25" s="16"/>
      <c r="J25" s="16"/>
      <c r="K25" s="16"/>
      <c r="L25" s="16"/>
      <c r="M25" s="17"/>
    </row>
    <row r="26" spans="1:13" ht="12.75">
      <c r="A26" s="221" t="s">
        <v>96</v>
      </c>
      <c r="B26" s="221"/>
      <c r="C26" s="221"/>
      <c r="D26" s="221"/>
      <c r="E26" s="221"/>
      <c r="F26" s="221"/>
      <c r="G26" s="221"/>
      <c r="H26" s="221"/>
      <c r="I26" s="221"/>
      <c r="J26" s="221"/>
      <c r="K26" s="221"/>
      <c r="L26" s="221"/>
      <c r="M26" s="221"/>
    </row>
    <row r="27" spans="1:13" ht="13.5">
      <c r="A27" s="193"/>
      <c r="B27" s="193"/>
      <c r="C27" s="193"/>
      <c r="D27" s="193"/>
      <c r="E27" s="193"/>
      <c r="F27" s="193"/>
      <c r="G27" s="193"/>
      <c r="H27" s="193"/>
      <c r="I27" s="193"/>
      <c r="J27" s="193"/>
      <c r="K27" s="193"/>
      <c r="L27" s="193"/>
      <c r="M27" s="193"/>
    </row>
    <row r="28" spans="1:15" ht="15.75">
      <c r="A28" s="227" t="str">
        <f>"Annual and Life Cycle Costs and Savings for "&amp;C14&amp;" Commercial Ice Machine(s)"</f>
        <v>Annual and Life Cycle Costs and Savings for 20 Commercial Ice Machine(s)</v>
      </c>
      <c r="B28" s="227"/>
      <c r="C28" s="227"/>
      <c r="D28" s="227"/>
      <c r="E28" s="227"/>
      <c r="F28" s="227"/>
      <c r="G28" s="227"/>
      <c r="H28" s="227"/>
      <c r="I28" s="227"/>
      <c r="J28" s="227"/>
      <c r="K28" s="227"/>
      <c r="L28" s="227"/>
      <c r="M28" s="227"/>
      <c r="O28" s="198"/>
    </row>
    <row r="29" spans="1:13" ht="31.5" customHeight="1">
      <c r="A29" s="18"/>
      <c r="B29" s="223" t="str">
        <f>""&amp;C14&amp;" ENERGY STAR Qualified Unit(s)"</f>
        <v>20 ENERGY STAR Qualified Unit(s)</v>
      </c>
      <c r="C29" s="223"/>
      <c r="D29" s="223"/>
      <c r="E29" s="39"/>
      <c r="F29" s="223" t="str">
        <f>""&amp;C14&amp;" Conventional Unit(s)"</f>
        <v>20 Conventional Unit(s)</v>
      </c>
      <c r="G29" s="223"/>
      <c r="H29" s="223"/>
      <c r="I29" s="39"/>
      <c r="J29" s="223" t="s">
        <v>8</v>
      </c>
      <c r="K29" s="223"/>
      <c r="L29" s="223"/>
      <c r="M29" s="19"/>
    </row>
    <row r="30" spans="1:13" ht="19.5" customHeight="1">
      <c r="A30" s="70" t="s">
        <v>27</v>
      </c>
      <c r="B30" s="20"/>
      <c r="C30" s="20"/>
      <c r="D30" s="20"/>
      <c r="E30" s="20"/>
      <c r="F30" s="20"/>
      <c r="G30" s="20"/>
      <c r="H30" s="20"/>
      <c r="I30" s="20"/>
      <c r="J30" s="20"/>
      <c r="K30" s="20"/>
      <c r="L30" s="20"/>
      <c r="M30" s="21"/>
    </row>
    <row r="31" spans="1:13" ht="15.75" customHeight="1">
      <c r="A31" s="22" t="s">
        <v>49</v>
      </c>
      <c r="B31" s="20"/>
      <c r="C31" s="23">
        <f>C32*C15</f>
        <v>26955.8582944</v>
      </c>
      <c r="D31" s="20"/>
      <c r="E31" s="20"/>
      <c r="F31" s="20"/>
      <c r="G31" s="23">
        <f>G32*C15</f>
        <v>29998.510080000004</v>
      </c>
      <c r="H31" s="20"/>
      <c r="I31" s="20"/>
      <c r="J31" s="20"/>
      <c r="K31" s="23">
        <f>G31-C31</f>
        <v>3042.6517856000028</v>
      </c>
      <c r="L31" s="20"/>
      <c r="M31" s="21"/>
    </row>
    <row r="32" spans="1:13" s="3" customFormat="1" ht="15.75" customHeight="1" outlineLevel="1">
      <c r="A32" s="97" t="s">
        <v>23</v>
      </c>
      <c r="B32" s="98"/>
      <c r="C32" s="102">
        <f>C14*IF(Assumptions!F7=1,Assumptions!B11,IF(Assumptions!F7=2,Assumptions!B18,Assumptions!B25))</f>
        <v>283149.772</v>
      </c>
      <c r="D32" s="99"/>
      <c r="E32" s="99"/>
      <c r="F32" s="99"/>
      <c r="G32" s="102">
        <f>C14*IF(Assumptions!F7=1,Assumptions!B35,IF(Assumptions!F7=2,Assumptions!B42,Assumptions!B49))</f>
        <v>315110.4</v>
      </c>
      <c r="H32" s="99"/>
      <c r="I32" s="99"/>
      <c r="J32" s="141"/>
      <c r="K32" s="137">
        <f>G32-C32</f>
        <v>31960.628000000026</v>
      </c>
      <c r="L32" s="99"/>
      <c r="M32" s="100"/>
    </row>
    <row r="33" spans="1:13" s="3" customFormat="1" ht="15.75" customHeight="1" outlineLevel="1">
      <c r="A33" s="120" t="s">
        <v>76</v>
      </c>
      <c r="B33" s="20"/>
      <c r="C33" s="136">
        <f>C34*C16/1000</f>
        <v>3145.753251900004</v>
      </c>
      <c r="D33" s="140"/>
      <c r="E33" s="140"/>
      <c r="F33" s="140"/>
      <c r="G33" s="23">
        <f>G34*C16/1000</f>
        <v>3236.1627171514897</v>
      </c>
      <c r="H33" s="140"/>
      <c r="I33" s="140"/>
      <c r="J33" s="140"/>
      <c r="K33" s="23">
        <f>G33-C33</f>
        <v>90.40946525148547</v>
      </c>
      <c r="L33" s="99"/>
      <c r="M33" s="100"/>
    </row>
    <row r="34" spans="1:13" s="3" customFormat="1" ht="15.75" customHeight="1" outlineLevel="1">
      <c r="A34" s="97" t="s">
        <v>77</v>
      </c>
      <c r="B34" s="98"/>
      <c r="C34" s="102">
        <f>C14*IF(Assumptions!F7=1,Assumptions!B10,IF(Assumptions!F7=2,Assumptions!B17,Assumptions!B24))</f>
        <v>756554.4136363646</v>
      </c>
      <c r="D34" s="99"/>
      <c r="E34" s="99"/>
      <c r="F34" s="99"/>
      <c r="G34" s="102">
        <f>C14*IF(Assumptions!F7=1,Assumptions!B34,IF(Assumptions!F7=2,Assumptions!B41,Assumptions!B48))</f>
        <v>778297.911772845</v>
      </c>
      <c r="H34" s="137"/>
      <c r="I34" s="137"/>
      <c r="J34" s="137"/>
      <c r="K34" s="137">
        <f>G34-C34</f>
        <v>21743.49813648034</v>
      </c>
      <c r="L34" s="99"/>
      <c r="M34" s="100"/>
    </row>
    <row r="35" spans="1:13" ht="15.75" customHeight="1">
      <c r="A35" s="71" t="s">
        <v>9</v>
      </c>
      <c r="B35" s="24"/>
      <c r="C35" s="40">
        <f>C31+C33</f>
        <v>30101.611546300006</v>
      </c>
      <c r="D35" s="24"/>
      <c r="E35" s="24"/>
      <c r="F35" s="24"/>
      <c r="G35" s="40">
        <f>G31+G33</f>
        <v>33234.67279715149</v>
      </c>
      <c r="H35" s="24"/>
      <c r="I35" s="24"/>
      <c r="J35" s="24"/>
      <c r="K35" s="40">
        <f>K31+K33</f>
        <v>3133.0612508514882</v>
      </c>
      <c r="L35" s="24"/>
      <c r="M35" s="25"/>
    </row>
    <row r="36" spans="1:13" s="26" customFormat="1" ht="15.75" customHeight="1" collapsed="1">
      <c r="A36" s="224">
        <f>IF(Assumptions!$F$17=2,"This option shows only the increase in annual costs associated with operating a pre-1993 refrigerator compared to purchasing and operating a new unit.","")</f>
      </c>
      <c r="B36" s="225"/>
      <c r="C36" s="225"/>
      <c r="D36" s="225"/>
      <c r="E36" s="225"/>
      <c r="F36" s="225"/>
      <c r="G36" s="225"/>
      <c r="H36" s="225"/>
      <c r="I36" s="225"/>
      <c r="J36" s="225"/>
      <c r="K36" s="225"/>
      <c r="L36" s="225"/>
      <c r="M36" s="226"/>
    </row>
    <row r="37" spans="1:13" s="104" customFormat="1" ht="15.75" customHeight="1">
      <c r="A37" s="70" t="s">
        <v>47</v>
      </c>
      <c r="B37" s="20"/>
      <c r="C37" s="20"/>
      <c r="D37" s="20"/>
      <c r="E37" s="20"/>
      <c r="F37" s="20"/>
      <c r="G37" s="20"/>
      <c r="H37" s="20"/>
      <c r="I37" s="20"/>
      <c r="J37" s="20"/>
      <c r="K37" s="20"/>
      <c r="L37" s="20"/>
      <c r="M37" s="21"/>
    </row>
    <row r="38" spans="1:13" ht="15.75" customHeight="1">
      <c r="A38" s="120" t="str">
        <f>"Energy costs"</f>
        <v>Energy costs</v>
      </c>
      <c r="B38" s="20"/>
      <c r="C38" s="23">
        <f>PV(Assumptions!B59,Assumptions!B27,-C31,,0)</f>
        <v>181486.91678151098</v>
      </c>
      <c r="D38" s="20"/>
      <c r="E38" s="20"/>
      <c r="F38" s="20"/>
      <c r="G38" s="23">
        <f>PV(Assumptions!B59,Assumptions!B51,-G31,,0)</f>
        <v>201972.31499726808</v>
      </c>
      <c r="H38" s="20"/>
      <c r="I38" s="20"/>
      <c r="J38" s="218">
        <f>G38-C38</f>
        <v>20485.3982157571</v>
      </c>
      <c r="K38" s="218"/>
      <c r="L38" s="20"/>
      <c r="M38" s="21"/>
    </row>
    <row r="39" spans="1:13" ht="15.75" customHeight="1" outlineLevel="1">
      <c r="A39" s="97" t="s">
        <v>23</v>
      </c>
      <c r="B39" s="166"/>
      <c r="C39" s="137">
        <f>C32*Assumptions!B27</f>
        <v>2265198.176</v>
      </c>
      <c r="D39" s="99"/>
      <c r="E39" s="99"/>
      <c r="F39" s="99"/>
      <c r="G39" s="137">
        <f>G32*Assumptions!B51</f>
        <v>2520883.2</v>
      </c>
      <c r="H39" s="99"/>
      <c r="I39" s="99"/>
      <c r="J39" s="222">
        <f>G39-C39</f>
        <v>255685.0240000002</v>
      </c>
      <c r="K39" s="222"/>
      <c r="L39" s="101"/>
      <c r="M39" s="100"/>
    </row>
    <row r="40" spans="1:13" ht="15.75" customHeight="1" outlineLevel="1">
      <c r="A40" s="120" t="s">
        <v>76</v>
      </c>
      <c r="B40" s="122"/>
      <c r="C40" s="136">
        <f>PV(Assumptions!B59,Assumptions!B27,-C33,,0)</f>
        <v>21179.554084588322</v>
      </c>
      <c r="D40" s="175"/>
      <c r="E40" s="175"/>
      <c r="F40" s="175"/>
      <c r="G40" s="136">
        <f>PV(Assumptions!B59,Assumptions!B51,-G33,,0)</f>
        <v>21788.25794840727</v>
      </c>
      <c r="H40" s="99"/>
      <c r="I40" s="99"/>
      <c r="J40" s="218">
        <f>G40-C40</f>
        <v>608.7038638189479</v>
      </c>
      <c r="K40" s="218"/>
      <c r="L40" s="101"/>
      <c r="M40" s="100"/>
    </row>
    <row r="41" spans="1:13" ht="15.75" customHeight="1" outlineLevel="1">
      <c r="A41" s="97" t="s">
        <v>77</v>
      </c>
      <c r="B41" s="122"/>
      <c r="C41" s="137">
        <f>C34*Assumptions!B27</f>
        <v>6052435.309090917</v>
      </c>
      <c r="D41" s="137"/>
      <c r="E41" s="137"/>
      <c r="F41" s="137"/>
      <c r="G41" s="137">
        <f>G34*Assumptions!B51</f>
        <v>6226383.29418276</v>
      </c>
      <c r="H41" s="137"/>
      <c r="I41" s="137"/>
      <c r="J41" s="137"/>
      <c r="K41" s="222">
        <f>H41-D41</f>
        <v>0</v>
      </c>
      <c r="L41" s="222"/>
      <c r="M41" s="100"/>
    </row>
    <row r="42" spans="1:13" ht="17.25" customHeight="1">
      <c r="A42" s="22" t="str">
        <f>"Purchase Price for "&amp;C14&amp;" unit(s)"</f>
        <v>Purchase Price for 20 unit(s)</v>
      </c>
      <c r="B42" s="20"/>
      <c r="C42" s="123">
        <f>C21*C14</f>
        <v>78100.00000000001</v>
      </c>
      <c r="D42" s="20"/>
      <c r="E42" s="20"/>
      <c r="F42" s="20"/>
      <c r="G42" s="123">
        <f>G21*C14</f>
        <v>71000</v>
      </c>
      <c r="H42" s="20"/>
      <c r="I42" s="20"/>
      <c r="J42" s="20"/>
      <c r="K42" s="23">
        <f>G42-C42</f>
        <v>-7100.000000000015</v>
      </c>
      <c r="L42" s="20"/>
      <c r="M42" s="21"/>
    </row>
    <row r="43" spans="1:13" ht="15.75" customHeight="1">
      <c r="A43" s="121" t="s">
        <v>9</v>
      </c>
      <c r="B43" s="24"/>
      <c r="C43" s="40">
        <f>C38+C42+C40</f>
        <v>280766.4708660993</v>
      </c>
      <c r="D43" s="24"/>
      <c r="E43" s="24"/>
      <c r="F43" s="24"/>
      <c r="G43" s="40">
        <f>G38+G42+G40</f>
        <v>294760.57294567535</v>
      </c>
      <c r="H43" s="24"/>
      <c r="I43" s="24"/>
      <c r="J43" s="24"/>
      <c r="K43" s="40">
        <f>J38+K42+K40</f>
        <v>13385.398215757086</v>
      </c>
      <c r="L43" s="24"/>
      <c r="M43" s="25"/>
    </row>
    <row r="44" spans="1:13" ht="15.75" customHeight="1">
      <c r="A44" s="121"/>
      <c r="B44" s="24"/>
      <c r="C44" s="41"/>
      <c r="D44" s="24"/>
      <c r="E44" s="24"/>
      <c r="F44" s="24"/>
      <c r="G44" s="41"/>
      <c r="H44" s="24"/>
      <c r="I44" s="24"/>
      <c r="J44" s="24"/>
      <c r="K44" s="41"/>
      <c r="L44" s="24"/>
      <c r="M44" s="25"/>
    </row>
    <row r="45" spans="1:13" s="26" customFormat="1" ht="15.75" customHeight="1">
      <c r="A45" s="22"/>
      <c r="B45" s="20"/>
      <c r="C45" s="20"/>
      <c r="D45" s="20"/>
      <c r="E45" s="20"/>
      <c r="F45" s="20"/>
      <c r="G45" s="20"/>
      <c r="H45" s="20"/>
      <c r="I45" s="20"/>
      <c r="J45" s="112" t="s">
        <v>46</v>
      </c>
      <c r="K45" s="78">
        <f>IF(K51&lt;=0,0,IF(K35&lt;0,"N/A",IF(K35=0,"&gt;"&amp;Assumptions!B27&amp;"",IF(K51/K35&gt;Assumptions!B27,"&gt;"&amp;Assumptions!B27&amp;"",K51/K35))))</f>
        <v>2.2661542279361457</v>
      </c>
      <c r="L45" s="20"/>
      <c r="M45" s="21"/>
    </row>
    <row r="46" spans="1:13" s="85" customFormat="1" ht="4.5" customHeight="1">
      <c r="A46" s="27"/>
      <c r="B46" s="28"/>
      <c r="C46" s="28"/>
      <c r="D46" s="28"/>
      <c r="E46" s="28"/>
      <c r="F46" s="28"/>
      <c r="G46" s="28"/>
      <c r="H46" s="28"/>
      <c r="I46" s="28"/>
      <c r="J46" s="28"/>
      <c r="K46" s="28"/>
      <c r="L46" s="28"/>
      <c r="M46" s="29"/>
    </row>
    <row r="47" spans="1:13" ht="26.25" customHeight="1">
      <c r="A47" s="231" t="s">
        <v>28</v>
      </c>
      <c r="B47" s="232"/>
      <c r="C47" s="232"/>
      <c r="D47" s="232"/>
      <c r="E47" s="232"/>
      <c r="F47" s="232"/>
      <c r="G47" s="232"/>
      <c r="H47" s="232"/>
      <c r="I47" s="232"/>
      <c r="J47" s="232"/>
      <c r="K47" s="232"/>
      <c r="L47" s="232"/>
      <c r="M47" s="232"/>
    </row>
    <row r="48" spans="1:13" ht="13.5">
      <c r="A48" s="233" t="s">
        <v>29</v>
      </c>
      <c r="B48" s="233"/>
      <c r="C48" s="233"/>
      <c r="D48" s="233"/>
      <c r="E48" s="233"/>
      <c r="F48" s="233"/>
      <c r="G48" s="233"/>
      <c r="H48" s="233"/>
      <c r="I48" s="233"/>
      <c r="J48" s="233"/>
      <c r="K48" s="233"/>
      <c r="L48" s="233"/>
      <c r="M48" s="233"/>
    </row>
    <row r="49" spans="1:13" ht="24.75" customHeight="1">
      <c r="A49" s="42"/>
      <c r="B49" s="42"/>
      <c r="C49" s="42"/>
      <c r="D49" s="42"/>
      <c r="E49" s="42"/>
      <c r="F49" s="42"/>
      <c r="G49" s="42"/>
      <c r="H49" s="42"/>
      <c r="I49" s="42"/>
      <c r="J49" s="42"/>
      <c r="K49" s="42"/>
      <c r="L49" s="42"/>
      <c r="M49" s="42"/>
    </row>
    <row r="50" spans="1:13" ht="15.75">
      <c r="A50" s="230" t="str">
        <f>"Summary of Benefits for "&amp;C14&amp;" Commercial Ice Machine(s)"</f>
        <v>Summary of Benefits for 20 Commercial Ice Machine(s)</v>
      </c>
      <c r="B50" s="230"/>
      <c r="C50" s="230"/>
      <c r="D50" s="230"/>
      <c r="E50" s="230"/>
      <c r="F50" s="230"/>
      <c r="G50" s="230"/>
      <c r="H50" s="230"/>
      <c r="I50" s="230"/>
      <c r="J50" s="230"/>
      <c r="K50" s="230"/>
      <c r="L50" s="230"/>
      <c r="M50" s="230"/>
    </row>
    <row r="51" spans="1:13" ht="15">
      <c r="A51" s="30" t="s">
        <v>38</v>
      </c>
      <c r="B51" s="43"/>
      <c r="C51" s="43"/>
      <c r="D51" s="43"/>
      <c r="E51" s="43"/>
      <c r="F51" s="43"/>
      <c r="G51" s="43"/>
      <c r="H51" s="135"/>
      <c r="I51" s="130"/>
      <c r="J51" s="130"/>
      <c r="K51" s="130">
        <f>(C21-G21)*C14</f>
        <v>7100.000000000009</v>
      </c>
      <c r="L51" s="43"/>
      <c r="M51" s="31"/>
    </row>
    <row r="52" spans="1:13" ht="15.75" customHeight="1">
      <c r="A52" s="30" t="s">
        <v>39</v>
      </c>
      <c r="B52" s="43"/>
      <c r="C52" s="43"/>
      <c r="D52" s="43"/>
      <c r="E52" s="43"/>
      <c r="F52" s="43"/>
      <c r="G52" s="43"/>
      <c r="H52" s="135"/>
      <c r="I52" s="130"/>
      <c r="J52" s="130"/>
      <c r="K52" s="130">
        <f>J38+J40</f>
        <v>21094.10207957605</v>
      </c>
      <c r="L52" s="43"/>
      <c r="M52" s="31"/>
    </row>
    <row r="53" spans="1:13" ht="15.75" customHeight="1">
      <c r="A53" s="30" t="s">
        <v>40</v>
      </c>
      <c r="B53" s="43"/>
      <c r="C53" s="43"/>
      <c r="D53" s="43"/>
      <c r="E53" s="43"/>
      <c r="F53" s="43"/>
      <c r="G53" s="43"/>
      <c r="H53" s="135"/>
      <c r="I53" s="130"/>
      <c r="J53" s="130"/>
      <c r="K53" s="130">
        <f>K43</f>
        <v>13385.398215757086</v>
      </c>
      <c r="L53" s="43"/>
      <c r="M53" s="31"/>
    </row>
    <row r="54" spans="1:13" ht="15.75" customHeight="1">
      <c r="A54" s="30" t="s">
        <v>41</v>
      </c>
      <c r="B54" s="43"/>
      <c r="C54" s="43"/>
      <c r="D54" s="43"/>
      <c r="E54" s="43"/>
      <c r="F54" s="43"/>
      <c r="G54" s="43"/>
      <c r="H54" s="135"/>
      <c r="I54" s="131"/>
      <c r="J54" s="131"/>
      <c r="K54" s="131">
        <f>K45</f>
        <v>2.2661542279361457</v>
      </c>
      <c r="L54" s="43"/>
      <c r="M54" s="31"/>
    </row>
    <row r="55" spans="1:13" ht="15.75" customHeight="1">
      <c r="A55" s="30" t="s">
        <v>42</v>
      </c>
      <c r="B55" s="43"/>
      <c r="C55" s="43"/>
      <c r="D55" s="43"/>
      <c r="E55" s="43"/>
      <c r="F55" s="43"/>
      <c r="G55" s="43"/>
      <c r="H55" s="135"/>
      <c r="I55" s="132"/>
      <c r="J55" s="132"/>
      <c r="K55" s="132">
        <f>J39</f>
        <v>255685.0240000002</v>
      </c>
      <c r="L55" s="43"/>
      <c r="M55" s="31"/>
    </row>
    <row r="56" spans="1:13" ht="15.75" customHeight="1">
      <c r="A56" s="30" t="s">
        <v>48</v>
      </c>
      <c r="B56" s="43"/>
      <c r="C56" s="43"/>
      <c r="D56" s="43"/>
      <c r="E56" s="43"/>
      <c r="F56" s="43"/>
      <c r="G56" s="43"/>
      <c r="H56" s="135"/>
      <c r="I56" s="132"/>
      <c r="J56" s="132"/>
      <c r="K56" s="132">
        <f>J39*Assumptions!B67</f>
        <v>393754.9369600003</v>
      </c>
      <c r="L56" s="43"/>
      <c r="M56" s="31"/>
    </row>
    <row r="57" spans="1:13" ht="15.75" customHeight="1">
      <c r="A57" s="30" t="s">
        <v>43</v>
      </c>
      <c r="B57" s="43"/>
      <c r="C57" s="43"/>
      <c r="D57" s="43"/>
      <c r="E57" s="43"/>
      <c r="F57" s="43"/>
      <c r="G57" s="43"/>
      <c r="H57" s="135"/>
      <c r="I57" s="133"/>
      <c r="J57" s="133"/>
      <c r="K57" s="133">
        <f>J39*Assumptions!B67/Assumptions!B71</f>
        <v>32.71204926144391</v>
      </c>
      <c r="L57" s="43"/>
      <c r="M57" s="31"/>
    </row>
    <row r="58" spans="1:13" ht="15.75" customHeight="1">
      <c r="A58" s="30" t="s">
        <v>44</v>
      </c>
      <c r="B58" s="43"/>
      <c r="C58" s="43"/>
      <c r="D58" s="43"/>
      <c r="E58" s="43"/>
      <c r="F58" s="43"/>
      <c r="G58" s="43"/>
      <c r="H58" s="135"/>
      <c r="I58" s="133"/>
      <c r="J58" s="133"/>
      <c r="K58" s="133">
        <f>J39*Assumptions!B67/Assumptions!B70</f>
        <v>40.59329247010312</v>
      </c>
      <c r="L58" s="43"/>
      <c r="M58" s="31"/>
    </row>
    <row r="59" spans="1:13" ht="15.75" customHeight="1">
      <c r="A59" s="76" t="s">
        <v>45</v>
      </c>
      <c r="B59" s="43"/>
      <c r="C59" s="43"/>
      <c r="D59" s="43"/>
      <c r="E59" s="43"/>
      <c r="F59" s="43"/>
      <c r="G59" s="43"/>
      <c r="H59" s="135"/>
      <c r="I59" s="134"/>
      <c r="J59" s="134"/>
      <c r="K59" s="134">
        <f>K43/(C21*C14)</f>
        <v>0.1713879413029076</v>
      </c>
      <c r="L59" s="43"/>
      <c r="M59" s="31"/>
    </row>
    <row r="60" spans="1:13" ht="4.5" customHeight="1">
      <c r="A60" s="77"/>
      <c r="B60" s="32"/>
      <c r="C60" s="32"/>
      <c r="D60" s="32"/>
      <c r="E60" s="32"/>
      <c r="F60" s="32"/>
      <c r="G60" s="32"/>
      <c r="H60" s="32"/>
      <c r="I60" s="32"/>
      <c r="J60" s="32"/>
      <c r="K60" s="32"/>
      <c r="L60" s="32"/>
      <c r="M60" s="33"/>
    </row>
    <row r="61" spans="1:13" ht="12.75" customHeight="1">
      <c r="A61" s="228"/>
      <c r="B61" s="229"/>
      <c r="C61" s="229"/>
      <c r="D61" s="229"/>
      <c r="E61" s="229"/>
      <c r="F61" s="229"/>
      <c r="G61" s="229"/>
      <c r="H61" s="229"/>
      <c r="I61" s="229"/>
      <c r="J61" s="229"/>
      <c r="K61" s="229"/>
      <c r="L61" s="229"/>
      <c r="M61" s="229"/>
    </row>
    <row r="62" spans="1:13" s="34" customFormat="1" ht="12.75">
      <c r="A62" s="124"/>
      <c r="B62" s="125"/>
      <c r="C62" s="126"/>
      <c r="D62" s="62"/>
      <c r="E62" s="119"/>
      <c r="F62" s="119"/>
      <c r="G62" s="119"/>
      <c r="H62" s="119"/>
      <c r="I62" s="119"/>
      <c r="J62" s="119"/>
      <c r="K62" s="119"/>
      <c r="L62" s="119"/>
      <c r="M62" s="119"/>
    </row>
    <row r="63" spans="1:13" s="34" customFormat="1" ht="14.25" customHeight="1">
      <c r="A63" s="127"/>
      <c r="B63" s="127"/>
      <c r="C63" s="128"/>
      <c r="D63" s="117"/>
      <c r="E63" s="117"/>
      <c r="F63" s="117"/>
      <c r="G63" s="117"/>
      <c r="H63" s="117"/>
      <c r="I63" s="117"/>
      <c r="J63" s="117"/>
      <c r="K63" s="117"/>
      <c r="L63" s="117"/>
      <c r="M63" s="117"/>
    </row>
    <row r="64" spans="1:13" ht="11.25" customHeight="1">
      <c r="A64" s="62"/>
      <c r="C64" s="117"/>
      <c r="D64" s="117"/>
      <c r="E64" s="117"/>
      <c r="F64" s="117"/>
      <c r="G64" s="117"/>
      <c r="H64" s="117"/>
      <c r="I64" s="117"/>
      <c r="J64" s="117"/>
      <c r="K64" s="117"/>
      <c r="L64" s="117"/>
      <c r="M64" s="117"/>
    </row>
    <row r="65" spans="1:13" ht="11.25" customHeight="1">
      <c r="A65" s="62"/>
      <c r="B65" s="117"/>
      <c r="C65" s="117"/>
      <c r="D65" s="117"/>
      <c r="E65" s="117"/>
      <c r="F65" s="117"/>
      <c r="G65" s="117"/>
      <c r="H65" s="117"/>
      <c r="I65" s="117"/>
      <c r="J65" s="117"/>
      <c r="K65" s="117"/>
      <c r="L65" s="117"/>
      <c r="M65" s="117"/>
    </row>
    <row r="66" ht="15.75" customHeight="1"/>
    <row r="67" ht="15.75" customHeight="1"/>
    <row r="68" ht="15.75" customHeight="1"/>
    <row r="69" ht="15.75" customHeight="1"/>
    <row r="70" ht="15.75" customHeight="1">
      <c r="E70" s="49"/>
    </row>
    <row r="71" ht="15.75" customHeight="1">
      <c r="A71" s="118"/>
    </row>
    <row r="72" ht="15.75" customHeight="1">
      <c r="A72" s="62"/>
    </row>
    <row r="73" ht="15.75" customHeight="1">
      <c r="A73" s="62"/>
    </row>
    <row r="74" ht="15.75" customHeight="1">
      <c r="A74" s="62"/>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sheetData>
  <sheetProtection/>
  <mergeCells count="21">
    <mergeCell ref="A7:M7"/>
    <mergeCell ref="A8:M8"/>
    <mergeCell ref="A10:M10"/>
    <mergeCell ref="A12:M12"/>
    <mergeCell ref="A61:M61"/>
    <mergeCell ref="A50:M50"/>
    <mergeCell ref="A47:M47"/>
    <mergeCell ref="A48:M48"/>
    <mergeCell ref="K41:L41"/>
    <mergeCell ref="F29:H29"/>
    <mergeCell ref="A36:M36"/>
    <mergeCell ref="A28:M28"/>
    <mergeCell ref="J39:K39"/>
    <mergeCell ref="J29:L29"/>
    <mergeCell ref="B29:D29"/>
    <mergeCell ref="J38:K38"/>
    <mergeCell ref="B19:D19"/>
    <mergeCell ref="J40:K40"/>
    <mergeCell ref="F19:H19"/>
    <mergeCell ref="J19:L19"/>
    <mergeCell ref="A26:M26"/>
  </mergeCells>
  <dataValidations count="4">
    <dataValidation type="decimal" operator="equal" showInputMessage="1" showErrorMessage="1" error="Total Volume cannot exceed Fresh Volume plus Freezer Volume. &#10;&#10;Thank you." sqref="G24 C24">
      <formula1>G22+G23</formula1>
    </dataValidation>
    <dataValidation showInputMessage="1" showErrorMessage="1" error="Please choose a value between $.02 and $.45.&#10;&#10;Thank you." sqref="C16"/>
    <dataValidation type="decimal" operator="greaterThan" showInputMessage="1" showErrorMessage="1" error="Please enter a positivie value.&#10;&#10;Thank you." sqref="C21 C14:C15 G21">
      <formula1>0</formula1>
    </dataValidation>
    <dataValidation showInputMessage="1" showErrorMessage="1" errorTitle="Error" error="Please select a value between 1 and 30." sqref="G22:G23 C22:C23"/>
  </dataValidations>
  <printOptions horizontalCentered="1"/>
  <pageMargins left="1" right="1" top="1" bottom="1" header="0.5" footer="0.25"/>
  <pageSetup fitToHeight="1" fitToWidth="1" horizontalDpi="600" verticalDpi="600" orientation="portrait" scale="7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76"/>
  <sheetViews>
    <sheetView zoomScaleSheetLayoutView="90" zoomScalePageLayoutView="0" workbookViewId="0" topLeftCell="A55">
      <selection activeCell="C79" sqref="C79"/>
    </sheetView>
  </sheetViews>
  <sheetFormatPr defaultColWidth="9.140625" defaultRowHeight="12.75"/>
  <cols>
    <col min="1" max="1" width="54.8515625" style="48" bestFit="1" customWidth="1"/>
    <col min="2" max="2" width="11.00390625" style="64" bestFit="1" customWidth="1"/>
    <col min="3" max="3" width="14.8515625" style="65" bestFit="1" customWidth="1"/>
    <col min="4" max="4" width="51.140625" style="62" customWidth="1"/>
    <col min="5" max="5" width="3.28125" style="48" customWidth="1"/>
    <col min="6" max="6" width="9.140625" style="91" customWidth="1"/>
    <col min="7" max="7" width="45.00390625" style="85" customWidth="1"/>
    <col min="8" max="8" width="13.140625" style="85" bestFit="1" customWidth="1"/>
    <col min="9" max="9" width="16.57421875" style="85" bestFit="1" customWidth="1"/>
    <col min="10" max="10" width="22.57421875" style="85" hidden="1" customWidth="1"/>
    <col min="11" max="11" width="17.140625" style="48" customWidth="1"/>
    <col min="12" max="22" width="9.140625" style="48" customWidth="1"/>
    <col min="23" max="16384" width="9.140625" style="49" customWidth="1"/>
  </cols>
  <sheetData>
    <row r="1" spans="1:10" ht="15.75">
      <c r="A1" s="237" t="s">
        <v>106</v>
      </c>
      <c r="B1" s="238"/>
      <c r="C1" s="238"/>
      <c r="D1" s="239"/>
      <c r="E1" s="47"/>
      <c r="F1" s="90"/>
      <c r="G1" s="89"/>
      <c r="H1" s="89"/>
      <c r="I1" s="89"/>
      <c r="J1" s="89"/>
    </row>
    <row r="2" spans="1:10" ht="15.75">
      <c r="A2" s="129"/>
      <c r="B2" s="50"/>
      <c r="C2" s="50"/>
      <c r="D2" s="113"/>
      <c r="E2" s="47"/>
      <c r="F2" s="194"/>
      <c r="G2" s="195"/>
      <c r="H2" s="195"/>
      <c r="I2" s="195"/>
      <c r="J2" s="195"/>
    </row>
    <row r="3" spans="1:10" ht="15">
      <c r="A3" s="114" t="s">
        <v>10</v>
      </c>
      <c r="B3" s="240" t="s">
        <v>11</v>
      </c>
      <c r="C3" s="240"/>
      <c r="D3" s="115" t="s">
        <v>12</v>
      </c>
      <c r="E3" s="85"/>
      <c r="F3" s="196"/>
      <c r="G3" s="197"/>
      <c r="H3" s="197"/>
      <c r="I3" s="197"/>
      <c r="J3" s="197"/>
    </row>
    <row r="4" spans="1:10" ht="15">
      <c r="A4" s="69" t="s">
        <v>13</v>
      </c>
      <c r="B4" s="51"/>
      <c r="C4" s="52"/>
      <c r="D4" s="53"/>
      <c r="E4" s="85"/>
      <c r="F4" s="196"/>
      <c r="G4" s="197"/>
      <c r="H4" s="197"/>
      <c r="I4" s="197"/>
      <c r="J4" s="197"/>
    </row>
    <row r="5" spans="1:11" ht="12.75">
      <c r="A5" s="108" t="s">
        <v>5</v>
      </c>
      <c r="B5" s="54"/>
      <c r="C5" s="45"/>
      <c r="D5" s="46"/>
      <c r="E5" s="85"/>
      <c r="F5" s="179"/>
      <c r="G5" s="199"/>
      <c r="H5" s="187"/>
      <c r="I5" s="241"/>
      <c r="J5" s="241"/>
      <c r="K5" s="180"/>
    </row>
    <row r="6" spans="1:11" ht="12.75">
      <c r="A6" s="158" t="s">
        <v>53</v>
      </c>
      <c r="B6" s="56"/>
      <c r="C6" s="55"/>
      <c r="D6" s="146"/>
      <c r="E6" s="85"/>
      <c r="F6" s="179"/>
      <c r="G6" s="199"/>
      <c r="H6" s="187"/>
      <c r="I6" s="187"/>
      <c r="J6" s="187"/>
      <c r="K6" s="180"/>
    </row>
    <row r="7" spans="1:11" ht="12.75">
      <c r="A7" s="148" t="s">
        <v>35</v>
      </c>
      <c r="B7" s="83">
        <f>B31*1.1</f>
        <v>3905.0000000000005</v>
      </c>
      <c r="C7" s="45"/>
      <c r="D7" s="146" t="s">
        <v>101</v>
      </c>
      <c r="E7" s="88"/>
      <c r="F7" s="181">
        <v>1</v>
      </c>
      <c r="G7" s="180"/>
      <c r="H7" s="180"/>
      <c r="I7" s="180"/>
      <c r="J7" s="180"/>
      <c r="K7" s="180"/>
    </row>
    <row r="8" spans="1:11" ht="25.5">
      <c r="A8" s="150" t="s">
        <v>102</v>
      </c>
      <c r="B8" s="172">
        <v>706</v>
      </c>
      <c r="C8" s="147" t="s">
        <v>80</v>
      </c>
      <c r="D8" s="164" t="s">
        <v>97</v>
      </c>
      <c r="E8" s="88"/>
      <c r="F8" s="200"/>
      <c r="G8" s="201" t="s">
        <v>53</v>
      </c>
      <c r="H8" s="202"/>
      <c r="I8" s="203"/>
      <c r="J8" s="203"/>
      <c r="K8" s="180"/>
    </row>
    <row r="9" spans="1:11" ht="12.75">
      <c r="A9" s="150" t="s">
        <v>79</v>
      </c>
      <c r="B9" s="177">
        <f>IF('Commercial Ice Machine Calc'!C22&lt;450,18.6285714285714,19.5727272727273)</f>
        <v>19.5727272727273</v>
      </c>
      <c r="C9" s="147" t="s">
        <v>81</v>
      </c>
      <c r="D9" s="146" t="s">
        <v>108</v>
      </c>
      <c r="E9" s="88"/>
      <c r="F9" s="200"/>
      <c r="G9" s="201" t="s">
        <v>54</v>
      </c>
      <c r="H9" s="202"/>
      <c r="I9" s="203"/>
      <c r="J9" s="203"/>
      <c r="K9" s="180"/>
    </row>
    <row r="10" spans="1:11" ht="12.75">
      <c r="A10" s="150" t="s">
        <v>79</v>
      </c>
      <c r="B10" s="172">
        <f>IF(F7=1,'Commercial Ice Machine Calc'!C23*'Commercial Ice Machine Calc'!C22*B56/100,B9*B8*B56/100)</f>
        <v>37827.72068181823</v>
      </c>
      <c r="C10" s="167" t="s">
        <v>93</v>
      </c>
      <c r="D10" s="146" t="s">
        <v>94</v>
      </c>
      <c r="E10" s="88"/>
      <c r="F10" s="204"/>
      <c r="G10" s="205" t="s">
        <v>55</v>
      </c>
      <c r="H10" s="202"/>
      <c r="I10" s="203"/>
      <c r="J10" s="203"/>
      <c r="K10" s="180"/>
    </row>
    <row r="11" spans="1:11" ht="12.75">
      <c r="A11" s="149" t="s">
        <v>33</v>
      </c>
      <c r="B11" s="170">
        <f>IF('Commercial Ice Machine Calc'!C22&lt;450,(9.23-0.0077*'Commercial Ice Machine Calc'!C22)/100*365*'Commercial Ice Machine Calc'!C22,(6.2-0.001*'Commercial Ice Machine Calc'!C22)/100*365*'Commercial Ice Machine Calc'!C22)</f>
        <v>14157.488599999999</v>
      </c>
      <c r="C11" s="55" t="s">
        <v>32</v>
      </c>
      <c r="D11" s="146" t="s">
        <v>87</v>
      </c>
      <c r="E11" s="85"/>
      <c r="F11" s="200"/>
      <c r="G11" s="206"/>
      <c r="H11" s="202"/>
      <c r="I11" s="203"/>
      <c r="J11" s="203"/>
      <c r="K11" s="180"/>
    </row>
    <row r="12" spans="1:11" ht="12.75">
      <c r="A12" s="151"/>
      <c r="B12" s="155"/>
      <c r="C12" s="45"/>
      <c r="D12" s="46"/>
      <c r="E12" s="85"/>
      <c r="F12" s="200"/>
      <c r="G12" s="206"/>
      <c r="H12" s="202"/>
      <c r="I12" s="203"/>
      <c r="J12" s="203"/>
      <c r="K12" s="180"/>
    </row>
    <row r="13" spans="1:22" ht="12.75">
      <c r="A13" s="168" t="s">
        <v>54</v>
      </c>
      <c r="B13" s="154"/>
      <c r="C13" s="82"/>
      <c r="D13" s="46"/>
      <c r="E13" s="88"/>
      <c r="F13" s="200"/>
      <c r="G13" s="206"/>
      <c r="H13" s="202"/>
      <c r="I13" s="203"/>
      <c r="J13" s="203"/>
      <c r="K13" s="180"/>
      <c r="V13" s="49"/>
    </row>
    <row r="14" spans="1:11" ht="12.75">
      <c r="A14" s="148" t="s">
        <v>35</v>
      </c>
      <c r="B14" s="83">
        <f>B38*1.1</f>
        <v>2860.0000000000005</v>
      </c>
      <c r="C14" s="45"/>
      <c r="D14" s="146" t="s">
        <v>101</v>
      </c>
      <c r="E14" s="88"/>
      <c r="F14" s="204"/>
      <c r="G14" s="206"/>
      <c r="H14" s="202"/>
      <c r="I14" s="203"/>
      <c r="J14" s="203"/>
      <c r="K14" s="180"/>
    </row>
    <row r="15" spans="1:11" ht="26.25">
      <c r="A15" s="150" t="s">
        <v>102</v>
      </c>
      <c r="B15" s="155">
        <v>1027</v>
      </c>
      <c r="C15" s="147" t="s">
        <v>80</v>
      </c>
      <c r="D15" s="164" t="s">
        <v>97</v>
      </c>
      <c r="E15" s="85"/>
      <c r="F15" s="200"/>
      <c r="G15" s="207"/>
      <c r="H15" s="242" t="s">
        <v>56</v>
      </c>
      <c r="I15" s="242"/>
      <c r="J15" s="242"/>
      <c r="K15" s="187" t="s">
        <v>82</v>
      </c>
    </row>
    <row r="16" spans="1:11" ht="12.75">
      <c r="A16" s="150" t="s">
        <v>79</v>
      </c>
      <c r="B16" s="177">
        <f>IF('Commercial Ice Machine Calc'!C22&lt;1000,18.7,18.5)</f>
        <v>18.7</v>
      </c>
      <c r="C16" s="147" t="s">
        <v>81</v>
      </c>
      <c r="D16" s="146" t="s">
        <v>108</v>
      </c>
      <c r="E16" s="85"/>
      <c r="F16" s="200"/>
      <c r="G16" s="207"/>
      <c r="H16" s="188" t="s">
        <v>107</v>
      </c>
      <c r="I16" s="188" t="s">
        <v>57</v>
      </c>
      <c r="J16" s="188" t="s">
        <v>58</v>
      </c>
      <c r="K16" s="188" t="s">
        <v>84</v>
      </c>
    </row>
    <row r="17" spans="1:11" ht="12.75">
      <c r="A17" s="150" t="s">
        <v>79</v>
      </c>
      <c r="B17" s="172">
        <f>IF(F7=2,'Commercial Ice Machine Calc'!C23*'Commercial Ice Machine Calc'!C22*B56/100,B16*B15*B56/100)</f>
        <v>52573.41374999999</v>
      </c>
      <c r="C17" s="167" t="s">
        <v>93</v>
      </c>
      <c r="D17" s="146" t="s">
        <v>94</v>
      </c>
      <c r="E17" s="85"/>
      <c r="F17" s="181"/>
      <c r="G17" s="189" t="s">
        <v>59</v>
      </c>
      <c r="H17" s="190" t="s">
        <v>60</v>
      </c>
      <c r="I17" s="190" t="s">
        <v>61</v>
      </c>
      <c r="J17" s="190">
        <v>25</v>
      </c>
      <c r="K17" s="187" t="s">
        <v>83</v>
      </c>
    </row>
    <row r="18" spans="1:22" ht="12.75">
      <c r="A18" s="149" t="s">
        <v>33</v>
      </c>
      <c r="B18" s="170">
        <f>IF('Commercial Ice Machine Calc'!C22&lt;1000,(8.05-0.0035*'Commercial Ice Machine Calc'!C22)/100*365*'Commercial Ice Machine Calc'!C22,(4.64)/100*365*'Commercial Ice Machine Calc'!C22)</f>
        <v>14376.525100000003</v>
      </c>
      <c r="C18" s="55" t="s">
        <v>32</v>
      </c>
      <c r="D18" s="146" t="s">
        <v>87</v>
      </c>
      <c r="E18" s="61"/>
      <c r="F18" s="181"/>
      <c r="G18" s="189"/>
      <c r="H18" s="190" t="s">
        <v>62</v>
      </c>
      <c r="I18" s="190" t="s">
        <v>63</v>
      </c>
      <c r="J18" s="190">
        <v>25</v>
      </c>
      <c r="K18" s="187"/>
      <c r="V18" s="49"/>
    </row>
    <row r="19" spans="1:22" ht="12.75">
      <c r="A19" s="151"/>
      <c r="B19" s="154"/>
      <c r="C19" s="82"/>
      <c r="D19" s="46"/>
      <c r="E19" s="61"/>
      <c r="F19" s="208"/>
      <c r="G19" s="236" t="s">
        <v>64</v>
      </c>
      <c r="H19" s="190" t="s">
        <v>65</v>
      </c>
      <c r="I19" s="190" t="s">
        <v>66</v>
      </c>
      <c r="J19" s="190">
        <v>25</v>
      </c>
      <c r="K19" s="187" t="s">
        <v>85</v>
      </c>
      <c r="V19" s="49"/>
    </row>
    <row r="20" spans="1:21" s="96" customFormat="1" ht="12.75">
      <c r="A20" s="169" t="s">
        <v>55</v>
      </c>
      <c r="B20" s="170"/>
      <c r="C20" s="55"/>
      <c r="D20" s="146"/>
      <c r="E20" s="94"/>
      <c r="F20" s="191"/>
      <c r="G20" s="236"/>
      <c r="H20" s="190" t="s">
        <v>67</v>
      </c>
      <c r="I20" s="190">
        <v>4.64</v>
      </c>
      <c r="J20" s="190">
        <v>25</v>
      </c>
      <c r="K20" s="192"/>
      <c r="L20" s="95"/>
      <c r="M20" s="95"/>
      <c r="N20" s="95"/>
      <c r="O20" s="95"/>
      <c r="P20" s="95"/>
      <c r="Q20" s="95"/>
      <c r="R20" s="95"/>
      <c r="S20" s="95"/>
      <c r="T20" s="95"/>
      <c r="U20" s="95"/>
    </row>
    <row r="21" spans="1:11" ht="12.75">
      <c r="A21" s="148" t="s">
        <v>35</v>
      </c>
      <c r="B21" s="176">
        <f>B45*1.1</f>
        <v>2035.0000000000002</v>
      </c>
      <c r="C21" s="82"/>
      <c r="D21" s="146" t="s">
        <v>101</v>
      </c>
      <c r="F21" s="191"/>
      <c r="G21" s="236" t="s">
        <v>68</v>
      </c>
      <c r="H21" s="190" t="s">
        <v>69</v>
      </c>
      <c r="I21" s="190" t="s">
        <v>66</v>
      </c>
      <c r="J21" s="190">
        <v>25</v>
      </c>
      <c r="K21" s="187"/>
    </row>
    <row r="22" spans="1:11" ht="25.5">
      <c r="A22" s="150" t="s">
        <v>102</v>
      </c>
      <c r="B22" s="209">
        <v>137</v>
      </c>
      <c r="C22" s="147" t="s">
        <v>80</v>
      </c>
      <c r="D22" s="164" t="s">
        <v>97</v>
      </c>
      <c r="F22" s="179"/>
      <c r="G22" s="236"/>
      <c r="H22" s="190" t="s">
        <v>70</v>
      </c>
      <c r="I22" s="190">
        <v>4.82</v>
      </c>
      <c r="J22" s="190">
        <v>25</v>
      </c>
      <c r="K22" s="187"/>
    </row>
    <row r="23" spans="1:11" ht="12.75">
      <c r="A23" s="150" t="s">
        <v>79</v>
      </c>
      <c r="B23" s="177">
        <f>IF('Commercial Ice Machine Calc'!C22&lt;175,33.6666666666667,27.35)</f>
        <v>27.35</v>
      </c>
      <c r="C23" s="147" t="s">
        <v>81</v>
      </c>
      <c r="D23" s="146" t="s">
        <v>108</v>
      </c>
      <c r="F23" s="179"/>
      <c r="G23" s="189" t="s">
        <v>71</v>
      </c>
      <c r="H23" s="190" t="s">
        <v>72</v>
      </c>
      <c r="I23" s="190" t="s">
        <v>73</v>
      </c>
      <c r="J23" s="190">
        <v>35</v>
      </c>
      <c r="K23" s="187" t="s">
        <v>86</v>
      </c>
    </row>
    <row r="24" spans="1:11" ht="12.75">
      <c r="A24" s="150" t="s">
        <v>79</v>
      </c>
      <c r="B24" s="172">
        <f>IF(F7=3,'Commercial Ice Machine Calc'!C23*'Commercial Ice Machine Calc'!C22*B56/100,B23*B22*B56/100)</f>
        <v>10257.275625000002</v>
      </c>
      <c r="C24" s="167" t="s">
        <v>93</v>
      </c>
      <c r="D24" s="146" t="s">
        <v>94</v>
      </c>
      <c r="F24" s="179"/>
      <c r="G24" s="189"/>
      <c r="H24" s="190" t="s">
        <v>74</v>
      </c>
      <c r="I24" s="190">
        <v>9.11</v>
      </c>
      <c r="J24" s="190">
        <v>35</v>
      </c>
      <c r="K24" s="187"/>
    </row>
    <row r="25" spans="1:4" ht="12.75">
      <c r="A25" s="149" t="s">
        <v>33</v>
      </c>
      <c r="B25" s="170">
        <f>IF('Commercial Ice Machine Calc'!C22&lt;175,(16.7-0.0436*'Commercial Ice Machine Calc'!C22)/100*365*'Commercial Ice Machine Calc'!C22,(9.11)/100*365*'Commercial Ice Machine Calc'!C22)</f>
        <v>23475.559</v>
      </c>
      <c r="C25" s="55" t="s">
        <v>32</v>
      </c>
      <c r="D25" s="146" t="s">
        <v>87</v>
      </c>
    </row>
    <row r="26" spans="1:4" ht="12.75">
      <c r="A26" s="151"/>
      <c r="B26" s="154"/>
      <c r="C26" s="82"/>
      <c r="D26" s="46"/>
    </row>
    <row r="27" spans="1:4" ht="12.75">
      <c r="A27" s="81" t="s">
        <v>30</v>
      </c>
      <c r="B27" s="155">
        <v>8</v>
      </c>
      <c r="C27" s="45" t="s">
        <v>14</v>
      </c>
      <c r="D27" s="146" t="s">
        <v>108</v>
      </c>
    </row>
    <row r="28" spans="1:10" ht="12.75">
      <c r="A28" s="60"/>
      <c r="B28" s="154"/>
      <c r="C28" s="82"/>
      <c r="D28" s="46"/>
      <c r="J28" s="87"/>
    </row>
    <row r="29" spans="1:9" ht="12.75">
      <c r="A29" s="93" t="s">
        <v>37</v>
      </c>
      <c r="B29" s="54"/>
      <c r="C29" s="45"/>
      <c r="D29" s="46"/>
      <c r="G29" s="87"/>
      <c r="H29" s="87"/>
      <c r="I29" s="87"/>
    </row>
    <row r="30" spans="1:5" ht="12.75">
      <c r="A30" s="158" t="s">
        <v>53</v>
      </c>
      <c r="B30" s="56"/>
      <c r="C30" s="55"/>
      <c r="D30" s="146"/>
      <c r="E30" s="57"/>
    </row>
    <row r="31" spans="1:7" ht="12.75">
      <c r="A31" s="148" t="s">
        <v>35</v>
      </c>
      <c r="B31" s="83">
        <v>3550</v>
      </c>
      <c r="C31" s="45"/>
      <c r="D31" s="146" t="s">
        <v>101</v>
      </c>
      <c r="F31" s="179"/>
      <c r="G31" s="180"/>
    </row>
    <row r="32" spans="1:9" ht="12.75">
      <c r="A32" s="150" t="s">
        <v>102</v>
      </c>
      <c r="B32" s="172">
        <f>B8</f>
        <v>706</v>
      </c>
      <c r="C32" s="147" t="s">
        <v>80</v>
      </c>
      <c r="D32" s="146" t="s">
        <v>95</v>
      </c>
      <c r="F32" s="181" t="s">
        <v>60</v>
      </c>
      <c r="G32" s="182">
        <v>0.01803541626026861</v>
      </c>
      <c r="H32" s="86"/>
      <c r="I32" s="3"/>
    </row>
    <row r="33" spans="1:22" s="62" customFormat="1" ht="12.75">
      <c r="A33" s="150" t="s">
        <v>79</v>
      </c>
      <c r="B33" s="177">
        <f>IF('Commercial Ice Machine Calc'!G22&lt;450,22.31768473,20.13525067)</f>
        <v>20.13525067</v>
      </c>
      <c r="C33" s="147" t="s">
        <v>81</v>
      </c>
      <c r="D33" s="146" t="s">
        <v>108</v>
      </c>
      <c r="E33" s="61"/>
      <c r="F33" s="181" t="s">
        <v>104</v>
      </c>
      <c r="G33" s="183">
        <v>0.002350614289632791</v>
      </c>
      <c r="H33" s="88"/>
      <c r="I33" s="88"/>
      <c r="J33" s="88"/>
      <c r="K33" s="61"/>
      <c r="L33" s="61"/>
      <c r="M33" s="61"/>
      <c r="N33" s="61"/>
      <c r="O33" s="61"/>
      <c r="P33" s="61"/>
      <c r="Q33" s="61"/>
      <c r="R33" s="61"/>
      <c r="S33" s="61"/>
      <c r="T33" s="61"/>
      <c r="U33" s="61"/>
      <c r="V33" s="61"/>
    </row>
    <row r="34" spans="1:22" s="62" customFormat="1" ht="12.75">
      <c r="A34" s="150" t="s">
        <v>79</v>
      </c>
      <c r="B34" s="172">
        <f>IF(F7=1,'Commercial Ice Machine Calc'!G23*'Commercial Ice Machine Calc'!C22*B56/100,B33*B32*B56/100)</f>
        <v>38914.89558864225</v>
      </c>
      <c r="C34" s="167" t="s">
        <v>93</v>
      </c>
      <c r="D34" s="146" t="s">
        <v>94</v>
      </c>
      <c r="E34" s="61"/>
      <c r="F34" s="184"/>
      <c r="G34" s="183"/>
      <c r="H34" s="88"/>
      <c r="I34" s="88"/>
      <c r="J34" s="88"/>
      <c r="K34" s="61"/>
      <c r="L34" s="61"/>
      <c r="M34" s="61"/>
      <c r="N34" s="61"/>
      <c r="O34" s="61"/>
      <c r="P34" s="61"/>
      <c r="Q34" s="61"/>
      <c r="R34" s="61"/>
      <c r="S34" s="61"/>
      <c r="T34" s="61"/>
      <c r="U34" s="61"/>
      <c r="V34" s="61"/>
    </row>
    <row r="35" spans="1:22" s="62" customFormat="1" ht="25.5">
      <c r="A35" s="149" t="s">
        <v>33</v>
      </c>
      <c r="B35" s="170">
        <f>18.92*'Commercial Ice Machine Calc'!C22+2398</f>
        <v>15755.52</v>
      </c>
      <c r="C35" s="55" t="s">
        <v>32</v>
      </c>
      <c r="D35" s="164" t="s">
        <v>97</v>
      </c>
      <c r="E35" s="61"/>
      <c r="F35" s="181"/>
      <c r="G35" s="183"/>
      <c r="H35" s="88"/>
      <c r="I35" s="88"/>
      <c r="J35" s="88"/>
      <c r="K35" s="61"/>
      <c r="L35" s="61"/>
      <c r="M35" s="61"/>
      <c r="N35" s="61"/>
      <c r="O35" s="61"/>
      <c r="P35" s="61"/>
      <c r="Q35" s="61"/>
      <c r="R35" s="61"/>
      <c r="S35" s="61"/>
      <c r="T35" s="61"/>
      <c r="U35" s="61"/>
      <c r="V35" s="61"/>
    </row>
    <row r="36" spans="1:22" s="62" customFormat="1" ht="12.75">
      <c r="A36" s="60"/>
      <c r="B36" s="155"/>
      <c r="C36" s="45"/>
      <c r="D36" s="46"/>
      <c r="E36" s="61"/>
      <c r="F36" s="181"/>
      <c r="G36" s="183"/>
      <c r="H36" s="88"/>
      <c r="I36" s="88"/>
      <c r="J36" s="88"/>
      <c r="K36" s="61"/>
      <c r="L36" s="61"/>
      <c r="M36" s="61"/>
      <c r="N36" s="61"/>
      <c r="O36" s="61"/>
      <c r="P36" s="61"/>
      <c r="Q36" s="61"/>
      <c r="R36" s="61"/>
      <c r="S36" s="61"/>
      <c r="T36" s="61"/>
      <c r="U36" s="61"/>
      <c r="V36" s="61"/>
    </row>
    <row r="37" spans="1:22" s="62" customFormat="1" ht="12.75">
      <c r="A37" s="158" t="s">
        <v>54</v>
      </c>
      <c r="B37" s="154"/>
      <c r="C37" s="82"/>
      <c r="D37" s="46"/>
      <c r="E37" s="61"/>
      <c r="F37" s="184"/>
      <c r="G37" s="183"/>
      <c r="H37" s="88"/>
      <c r="I37" s="88"/>
      <c r="J37" s="85"/>
      <c r="K37" s="61"/>
      <c r="L37" s="61"/>
      <c r="M37" s="61"/>
      <c r="N37" s="61"/>
      <c r="O37" s="61"/>
      <c r="P37" s="61"/>
      <c r="Q37" s="61"/>
      <c r="R37" s="61"/>
      <c r="S37" s="61"/>
      <c r="T37" s="61"/>
      <c r="U37" s="61"/>
      <c r="V37" s="61"/>
    </row>
    <row r="38" spans="1:22" s="62" customFormat="1" ht="12.75">
      <c r="A38" s="148" t="s">
        <v>35</v>
      </c>
      <c r="B38" s="83">
        <v>2600</v>
      </c>
      <c r="C38" s="45"/>
      <c r="D38" s="146" t="s">
        <v>101</v>
      </c>
      <c r="E38" s="61"/>
      <c r="F38" s="184"/>
      <c r="G38" s="183"/>
      <c r="H38" s="88"/>
      <c r="I38" s="88"/>
      <c r="J38" s="85"/>
      <c r="K38" s="61"/>
      <c r="L38" s="61"/>
      <c r="M38" s="61"/>
      <c r="N38" s="61"/>
      <c r="O38" s="61"/>
      <c r="P38" s="61"/>
      <c r="Q38" s="61"/>
      <c r="R38" s="61"/>
      <c r="S38" s="61"/>
      <c r="T38" s="61"/>
      <c r="U38" s="61"/>
      <c r="V38" s="61"/>
    </row>
    <row r="39" spans="1:22" s="62" customFormat="1" ht="12.75">
      <c r="A39" s="150" t="s">
        <v>102</v>
      </c>
      <c r="B39" s="155">
        <f>B15</f>
        <v>1027</v>
      </c>
      <c r="C39" s="147" t="s">
        <v>80</v>
      </c>
      <c r="D39" s="146" t="s">
        <v>95</v>
      </c>
      <c r="E39" s="61"/>
      <c r="F39" s="181"/>
      <c r="G39" s="183"/>
      <c r="H39" s="88"/>
      <c r="I39" s="88"/>
      <c r="J39" s="85"/>
      <c r="K39" s="61"/>
      <c r="L39" s="61"/>
      <c r="M39" s="61"/>
      <c r="N39" s="61"/>
      <c r="O39" s="61"/>
      <c r="P39" s="61"/>
      <c r="Q39" s="61"/>
      <c r="R39" s="61"/>
      <c r="S39" s="61"/>
      <c r="T39" s="61"/>
      <c r="U39" s="61"/>
      <c r="V39" s="61"/>
    </row>
    <row r="40" spans="1:22" s="62" customFormat="1" ht="12.75">
      <c r="A40" s="150" t="s">
        <v>79</v>
      </c>
      <c r="B40" s="177">
        <f>IF('Commercial Ice Machine Calc'!G22&lt;1000,21.45291,20.01111117)</f>
        <v>21.45291</v>
      </c>
      <c r="C40" s="147" t="s">
        <v>81</v>
      </c>
      <c r="D40" s="146" t="s">
        <v>108</v>
      </c>
      <c r="E40" s="61"/>
      <c r="F40" s="185" t="s">
        <v>65</v>
      </c>
      <c r="G40" s="183">
        <v>0.0059331175836031536</v>
      </c>
      <c r="H40" s="88"/>
      <c r="I40" s="88"/>
      <c r="J40" s="85"/>
      <c r="K40" s="61"/>
      <c r="L40" s="61"/>
      <c r="M40" s="61"/>
      <c r="N40" s="61"/>
      <c r="O40" s="61"/>
      <c r="P40" s="61"/>
      <c r="Q40" s="61"/>
      <c r="R40" s="61"/>
      <c r="S40" s="61"/>
      <c r="T40" s="61"/>
      <c r="U40" s="61"/>
      <c r="V40" s="61"/>
    </row>
    <row r="41" spans="1:22" s="62" customFormat="1" ht="12.75">
      <c r="A41" s="150" t="s">
        <v>79</v>
      </c>
      <c r="B41" s="172">
        <f>IF(F7=2,('Commercial Ice Machine Calc'!G23*'Commercial Ice Machine Calc'!C22*B56/100),B40*B39*B56/100)</f>
        <v>60312.979335375</v>
      </c>
      <c r="C41" s="167" t="s">
        <v>93</v>
      </c>
      <c r="D41" s="146" t="s">
        <v>94</v>
      </c>
      <c r="E41" s="61"/>
      <c r="F41" s="181" t="s">
        <v>103</v>
      </c>
      <c r="G41" s="183">
        <v>0.004422332780541827</v>
      </c>
      <c r="H41" s="88"/>
      <c r="I41" s="88"/>
      <c r="J41" s="85"/>
      <c r="K41" s="61"/>
      <c r="L41" s="61"/>
      <c r="M41" s="61"/>
      <c r="N41" s="61"/>
      <c r="O41" s="61"/>
      <c r="P41" s="61"/>
      <c r="Q41" s="61"/>
      <c r="R41" s="61"/>
      <c r="S41" s="61"/>
      <c r="T41" s="61"/>
      <c r="U41" s="61"/>
      <c r="V41" s="61"/>
    </row>
    <row r="42" spans="1:22" s="62" customFormat="1" ht="25.5">
      <c r="A42" s="149" t="s">
        <v>33</v>
      </c>
      <c r="B42" s="170">
        <f>17.06*'Commercial Ice Machine Calc'!C22+3650</f>
        <v>15694.359999999999</v>
      </c>
      <c r="C42" s="55" t="s">
        <v>32</v>
      </c>
      <c r="D42" s="164" t="s">
        <v>97</v>
      </c>
      <c r="E42" s="61"/>
      <c r="F42" s="181"/>
      <c r="G42" s="183"/>
      <c r="H42" s="88"/>
      <c r="I42" s="88"/>
      <c r="J42" s="85"/>
      <c r="K42" s="61"/>
      <c r="L42" s="61"/>
      <c r="M42" s="61"/>
      <c r="N42" s="61"/>
      <c r="O42" s="61"/>
      <c r="P42" s="61"/>
      <c r="Q42" s="61"/>
      <c r="R42" s="61"/>
      <c r="S42" s="61"/>
      <c r="T42" s="61"/>
      <c r="U42" s="61"/>
      <c r="V42" s="61"/>
    </row>
    <row r="43" spans="1:22" s="62" customFormat="1" ht="12.75">
      <c r="A43" s="60"/>
      <c r="B43" s="154"/>
      <c r="C43" s="82"/>
      <c r="D43" s="46"/>
      <c r="E43" s="61"/>
      <c r="F43" s="181"/>
      <c r="G43" s="183"/>
      <c r="H43" s="88"/>
      <c r="I43" s="88"/>
      <c r="J43" s="85"/>
      <c r="K43" s="61"/>
      <c r="L43" s="61"/>
      <c r="M43" s="61"/>
      <c r="N43" s="61"/>
      <c r="O43" s="61"/>
      <c r="P43" s="61"/>
      <c r="Q43" s="61"/>
      <c r="R43" s="61"/>
      <c r="S43" s="61"/>
      <c r="T43" s="61"/>
      <c r="U43" s="61"/>
      <c r="V43" s="61"/>
    </row>
    <row r="44" spans="1:22" s="62" customFormat="1" ht="12.75">
      <c r="A44" s="159" t="s">
        <v>55</v>
      </c>
      <c r="B44" s="170"/>
      <c r="C44" s="55"/>
      <c r="D44" s="146"/>
      <c r="E44" s="61"/>
      <c r="F44" s="181"/>
      <c r="G44" s="183"/>
      <c r="H44" s="88"/>
      <c r="I44" s="88"/>
      <c r="J44" s="85"/>
      <c r="K44" s="61"/>
      <c r="L44" s="61"/>
      <c r="M44" s="61"/>
      <c r="N44" s="61"/>
      <c r="O44" s="61"/>
      <c r="P44" s="61"/>
      <c r="Q44" s="61"/>
      <c r="R44" s="61"/>
      <c r="S44" s="61"/>
      <c r="T44" s="61"/>
      <c r="U44" s="61"/>
      <c r="V44" s="61"/>
    </row>
    <row r="45" spans="1:22" s="62" customFormat="1" ht="12.75">
      <c r="A45" s="148" t="s">
        <v>35</v>
      </c>
      <c r="B45" s="176">
        <v>1850</v>
      </c>
      <c r="C45" s="82"/>
      <c r="D45" s="146" t="s">
        <v>101</v>
      </c>
      <c r="E45" s="61"/>
      <c r="F45" s="181"/>
      <c r="G45" s="183"/>
      <c r="H45" s="88"/>
      <c r="I45" s="88"/>
      <c r="J45" s="85"/>
      <c r="K45" s="61"/>
      <c r="L45" s="61"/>
      <c r="M45" s="61"/>
      <c r="N45" s="61"/>
      <c r="O45" s="61"/>
      <c r="P45" s="61"/>
      <c r="Q45" s="61"/>
      <c r="R45" s="61"/>
      <c r="S45" s="61"/>
      <c r="T45" s="61"/>
      <c r="U45" s="61"/>
      <c r="V45" s="61"/>
    </row>
    <row r="46" spans="1:22" s="62" customFormat="1" ht="12.75">
      <c r="A46" s="150" t="s">
        <v>102</v>
      </c>
      <c r="B46" s="174">
        <f>B22</f>
        <v>137</v>
      </c>
      <c r="C46" s="147" t="s">
        <v>80</v>
      </c>
      <c r="D46" s="146" t="s">
        <v>95</v>
      </c>
      <c r="E46" s="61"/>
      <c r="F46" s="181" t="s">
        <v>72</v>
      </c>
      <c r="G46" s="183">
        <v>0.0193504472967716</v>
      </c>
      <c r="H46" s="88"/>
      <c r="I46" s="88"/>
      <c r="J46" s="85"/>
      <c r="K46" s="61"/>
      <c r="L46" s="61"/>
      <c r="M46" s="61"/>
      <c r="N46" s="61"/>
      <c r="O46" s="61"/>
      <c r="P46" s="61"/>
      <c r="Q46" s="61"/>
      <c r="R46" s="61"/>
      <c r="S46" s="61"/>
      <c r="T46" s="61"/>
      <c r="U46" s="61"/>
      <c r="V46" s="61"/>
    </row>
    <row r="47" spans="1:22" s="62" customFormat="1" ht="12.75">
      <c r="A47" s="150" t="s">
        <v>79</v>
      </c>
      <c r="B47" s="177">
        <f>IF('Commercial Ice Machine Calc'!G22&lt;175,37.35185175,27.35)</f>
        <v>27.35</v>
      </c>
      <c r="C47" s="147" t="s">
        <v>81</v>
      </c>
      <c r="D47" s="146" t="s">
        <v>108</v>
      </c>
      <c r="E47" s="61"/>
      <c r="F47" s="181" t="s">
        <v>105</v>
      </c>
      <c r="G47" s="183">
        <v>0</v>
      </c>
      <c r="H47" s="88"/>
      <c r="I47" s="88"/>
      <c r="J47" s="85"/>
      <c r="K47" s="61"/>
      <c r="L47" s="61"/>
      <c r="M47" s="61"/>
      <c r="N47" s="61"/>
      <c r="O47" s="61"/>
      <c r="P47" s="61"/>
      <c r="Q47" s="61"/>
      <c r="R47" s="61"/>
      <c r="S47" s="61"/>
      <c r="T47" s="61"/>
      <c r="U47" s="61"/>
      <c r="V47" s="61"/>
    </row>
    <row r="48" spans="1:22" s="62" customFormat="1" ht="12.75">
      <c r="A48" s="150" t="s">
        <v>79</v>
      </c>
      <c r="B48" s="171">
        <f>IF(F7=3,'Commercial Ice Machine Calc'!C23*'Commercial Ice Machine Calc'!C22*B56/100,B47*B46*B56/100)</f>
        <v>10257.275625000002</v>
      </c>
      <c r="C48" s="167" t="s">
        <v>93</v>
      </c>
      <c r="D48" s="146" t="s">
        <v>94</v>
      </c>
      <c r="E48" s="61"/>
      <c r="F48" s="181"/>
      <c r="G48" s="183"/>
      <c r="H48" s="88"/>
      <c r="I48" s="88"/>
      <c r="J48" s="85"/>
      <c r="K48" s="61"/>
      <c r="L48" s="61"/>
      <c r="M48" s="61"/>
      <c r="N48" s="61"/>
      <c r="O48" s="61"/>
      <c r="P48" s="61"/>
      <c r="Q48" s="61"/>
      <c r="R48" s="61"/>
      <c r="S48" s="61"/>
      <c r="T48" s="61"/>
      <c r="U48" s="61"/>
      <c r="V48" s="61"/>
    </row>
    <row r="49" spans="1:22" s="62" customFormat="1" ht="26.25" customHeight="1">
      <c r="A49" s="149" t="s">
        <v>33</v>
      </c>
      <c r="B49" s="170">
        <f>29.72*'Commercial Ice Machine Calc'!C22+1853</f>
        <v>22835.32</v>
      </c>
      <c r="C49" s="55" t="s">
        <v>32</v>
      </c>
      <c r="D49" s="164" t="s">
        <v>97</v>
      </c>
      <c r="E49" s="61"/>
      <c r="F49" s="181"/>
      <c r="G49" s="186"/>
      <c r="H49" s="88"/>
      <c r="I49" s="88"/>
      <c r="J49" s="85"/>
      <c r="K49" s="61"/>
      <c r="L49" s="61"/>
      <c r="M49" s="61"/>
      <c r="N49" s="61"/>
      <c r="O49" s="61"/>
      <c r="P49" s="61"/>
      <c r="Q49" s="61"/>
      <c r="R49" s="61"/>
      <c r="S49" s="61"/>
      <c r="T49" s="61"/>
      <c r="U49" s="61"/>
      <c r="V49" s="61"/>
    </row>
    <row r="50" spans="1:22" s="62" customFormat="1" ht="12.75">
      <c r="A50" s="60"/>
      <c r="B50" s="151"/>
      <c r="C50" s="156"/>
      <c r="D50" s="60"/>
      <c r="E50" s="61"/>
      <c r="F50" s="92"/>
      <c r="G50" s="88"/>
      <c r="H50" s="88"/>
      <c r="I50" s="88"/>
      <c r="J50" s="85"/>
      <c r="K50" s="61"/>
      <c r="L50" s="61"/>
      <c r="M50" s="61"/>
      <c r="N50" s="61"/>
      <c r="O50" s="61"/>
      <c r="P50" s="61"/>
      <c r="Q50" s="61"/>
      <c r="R50" s="61"/>
      <c r="S50" s="61"/>
      <c r="T50" s="61"/>
      <c r="U50" s="61"/>
      <c r="V50" s="61"/>
    </row>
    <row r="51" spans="1:22" s="62" customFormat="1" ht="12.75">
      <c r="A51" s="81" t="s">
        <v>30</v>
      </c>
      <c r="B51" s="155">
        <v>8</v>
      </c>
      <c r="C51" s="45" t="s">
        <v>14</v>
      </c>
      <c r="D51" s="146" t="s">
        <v>108</v>
      </c>
      <c r="E51" s="61"/>
      <c r="F51" s="92"/>
      <c r="G51" s="88"/>
      <c r="H51" s="88"/>
      <c r="I51" s="88"/>
      <c r="J51" s="85"/>
      <c r="K51" s="61"/>
      <c r="L51" s="61"/>
      <c r="M51" s="61"/>
      <c r="N51" s="61"/>
      <c r="O51" s="61"/>
      <c r="P51" s="61"/>
      <c r="Q51" s="61"/>
      <c r="R51" s="61"/>
      <c r="S51" s="61"/>
      <c r="T51" s="61"/>
      <c r="U51" s="61"/>
      <c r="V51" s="61"/>
    </row>
    <row r="52" spans="1:22" s="62" customFormat="1" ht="12.75">
      <c r="A52" s="81"/>
      <c r="B52" s="155"/>
      <c r="C52" s="45"/>
      <c r="D52" s="146"/>
      <c r="E52" s="61"/>
      <c r="F52" s="92"/>
      <c r="G52" s="88"/>
      <c r="H52" s="88"/>
      <c r="I52" s="88"/>
      <c r="J52" s="85"/>
      <c r="K52" s="61"/>
      <c r="L52" s="61"/>
      <c r="M52" s="61"/>
      <c r="N52" s="61"/>
      <c r="O52" s="61"/>
      <c r="P52" s="61"/>
      <c r="Q52" s="61"/>
      <c r="R52" s="61"/>
      <c r="S52" s="61"/>
      <c r="T52" s="61"/>
      <c r="U52" s="61"/>
      <c r="V52" s="61"/>
    </row>
    <row r="53" spans="1:4" ht="15">
      <c r="A53" s="110" t="s">
        <v>15</v>
      </c>
      <c r="B53" s="155"/>
      <c r="C53" s="45"/>
      <c r="D53" s="146"/>
    </row>
    <row r="54" spans="1:4" ht="12.75">
      <c r="A54" s="145" t="s">
        <v>88</v>
      </c>
      <c r="B54" s="160">
        <v>0.75</v>
      </c>
      <c r="C54" s="45"/>
      <c r="D54" s="146" t="s">
        <v>109</v>
      </c>
    </row>
    <row r="55" spans="1:4" ht="12.75">
      <c r="A55" s="145" t="s">
        <v>100</v>
      </c>
      <c r="B55" s="155">
        <v>365</v>
      </c>
      <c r="C55" s="147" t="s">
        <v>31</v>
      </c>
      <c r="D55" s="146"/>
    </row>
    <row r="56" spans="1:4" ht="12.75">
      <c r="A56" s="145" t="s">
        <v>99</v>
      </c>
      <c r="B56" s="172">
        <f>B55*B54</f>
        <v>273.75</v>
      </c>
      <c r="C56" s="147" t="s">
        <v>98</v>
      </c>
      <c r="D56" s="146" t="s">
        <v>94</v>
      </c>
    </row>
    <row r="57" spans="1:4" ht="12.75">
      <c r="A57" s="109"/>
      <c r="B57" s="106"/>
      <c r="C57" s="55"/>
      <c r="D57" s="146"/>
    </row>
    <row r="58" spans="1:4" ht="15">
      <c r="A58" s="110" t="s">
        <v>16</v>
      </c>
      <c r="B58" s="54"/>
      <c r="C58" s="45"/>
      <c r="D58" s="46"/>
    </row>
    <row r="59" spans="1:4" ht="38.25">
      <c r="A59" s="111" t="s">
        <v>17</v>
      </c>
      <c r="B59" s="58">
        <v>0.04</v>
      </c>
      <c r="C59" s="45"/>
      <c r="D59" s="59" t="s">
        <v>18</v>
      </c>
    </row>
    <row r="60" spans="1:4" ht="12.75">
      <c r="A60" s="60"/>
      <c r="B60" s="54"/>
      <c r="C60" s="45"/>
      <c r="D60" s="46"/>
    </row>
    <row r="61" spans="1:4" ht="15">
      <c r="A61" s="66" t="s">
        <v>19</v>
      </c>
      <c r="B61" s="54"/>
      <c r="C61" s="45"/>
      <c r="D61" s="46"/>
    </row>
    <row r="62" spans="1:4" ht="12.75">
      <c r="A62" s="162" t="s">
        <v>91</v>
      </c>
      <c r="B62" s="210">
        <v>0.0952</v>
      </c>
      <c r="C62" s="45" t="s">
        <v>20</v>
      </c>
      <c r="D62" s="211" t="s">
        <v>110</v>
      </c>
    </row>
    <row r="63" spans="1:4" ht="12.75">
      <c r="A63" s="162" t="s">
        <v>92</v>
      </c>
      <c r="B63" s="210">
        <v>0.1059</v>
      </c>
      <c r="C63" s="45" t="s">
        <v>20</v>
      </c>
      <c r="D63" s="211" t="s">
        <v>110</v>
      </c>
    </row>
    <row r="64" spans="1:4" ht="12.75">
      <c r="A64" s="161" t="s">
        <v>90</v>
      </c>
      <c r="B64" s="163">
        <v>4.158</v>
      </c>
      <c r="C64" s="147" t="s">
        <v>89</v>
      </c>
      <c r="D64" s="165" t="s">
        <v>36</v>
      </c>
    </row>
    <row r="65" spans="1:4" ht="12.75">
      <c r="A65" s="154"/>
      <c r="B65" s="54"/>
      <c r="C65" s="45"/>
      <c r="D65" s="82"/>
    </row>
    <row r="66" spans="1:4" ht="15">
      <c r="A66" s="152" t="s">
        <v>21</v>
      </c>
      <c r="B66" s="54"/>
      <c r="C66" s="45"/>
      <c r="D66" s="82"/>
    </row>
    <row r="67" spans="1:4" ht="15.75">
      <c r="A67" s="153" t="s">
        <v>22</v>
      </c>
      <c r="B67" s="54">
        <v>1.54</v>
      </c>
      <c r="C67" s="45" t="s">
        <v>34</v>
      </c>
      <c r="D67" s="82" t="s">
        <v>112</v>
      </c>
    </row>
    <row r="68" spans="1:4" ht="12.75">
      <c r="A68" s="154"/>
      <c r="B68" s="54"/>
      <c r="C68" s="45"/>
      <c r="D68" s="82"/>
    </row>
    <row r="69" spans="1:4" ht="16.5">
      <c r="A69" s="66" t="s">
        <v>26</v>
      </c>
      <c r="B69" s="157"/>
      <c r="C69" s="45"/>
      <c r="D69" s="46"/>
    </row>
    <row r="70" spans="1:4" ht="15.75">
      <c r="A70" s="67" t="s">
        <v>24</v>
      </c>
      <c r="B70" s="157">
        <v>9700</v>
      </c>
      <c r="C70" s="45" t="s">
        <v>50</v>
      </c>
      <c r="D70" s="46" t="s">
        <v>111</v>
      </c>
    </row>
    <row r="71" spans="1:4" ht="15.75">
      <c r="A71" s="68" t="s">
        <v>25</v>
      </c>
      <c r="B71" s="212">
        <v>12037</v>
      </c>
      <c r="C71" s="63" t="s">
        <v>50</v>
      </c>
      <c r="D71" s="213" t="s">
        <v>111</v>
      </c>
    </row>
    <row r="72" ht="12.75">
      <c r="A72" s="61"/>
    </row>
    <row r="73" spans="1:4" ht="12.75">
      <c r="A73" s="214"/>
      <c r="B73" s="214"/>
      <c r="C73" s="214"/>
      <c r="D73" s="214"/>
    </row>
    <row r="74" spans="1:4" ht="12.75">
      <c r="A74" s="215" t="s">
        <v>78</v>
      </c>
      <c r="B74" s="216"/>
      <c r="C74" s="216"/>
      <c r="D74" s="216"/>
    </row>
    <row r="75" ht="12.75">
      <c r="A75" s="88" t="s">
        <v>113</v>
      </c>
    </row>
    <row r="76" ht="12.75">
      <c r="A76" s="61"/>
    </row>
  </sheetData>
  <sheetProtection/>
  <mergeCells count="6">
    <mergeCell ref="I5:J5"/>
    <mergeCell ref="H15:J15"/>
    <mergeCell ref="G19:G20"/>
    <mergeCell ref="G21:G22"/>
    <mergeCell ref="A1:D1"/>
    <mergeCell ref="B3:C3"/>
  </mergeCells>
  <hyperlinks>
    <hyperlink ref="B74" r:id="rId1" display="mailto:Escalcs@cadmusgroup.com"/>
  </hyperlinks>
  <printOptions horizontalCentered="1"/>
  <pageMargins left="0.25" right="0.25" top="1" bottom="1" header="0.5" footer="0.5"/>
  <pageSetup fitToHeight="1" fitToWidth="1" horizontalDpi="600" verticalDpi="600" orientation="portrait" scale="7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2004-11-23T17:16:27Z</cp:lastPrinted>
  <dcterms:created xsi:type="dcterms:W3CDTF">2004-07-12T13:20:55Z</dcterms:created>
  <dcterms:modified xsi:type="dcterms:W3CDTF">2008-10-30T20:48:14Z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