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'Data'!$B$1:$N$120</definedName>
    <definedName name="SOURCE">'Data'!$A$119:$A$120</definedName>
  </definedNames>
  <calcPr fullCalcOnLoad="1"/>
</workbook>
</file>

<file path=xl/sharedStrings.xml><?xml version="1.0" encoding="utf-8"?>
<sst xmlns="http://schemas.openxmlformats.org/spreadsheetml/2006/main" count="340" uniqueCount="251">
  <si>
    <t>Market capitalization is the market value of all domestic listed companies at the end of the year.</t>
  </si>
  <si>
    <t>Value of shares traded is the annual total turnover of listed company shares]</t>
  </si>
  <si>
    <t>United States</t>
  </si>
  <si>
    <t>(NA)</t>
  </si>
  <si>
    <t xml:space="preserve">11,052.4 </t>
  </si>
  <si>
    <t xml:space="preserve">14,266.3 </t>
  </si>
  <si>
    <t xml:space="preserve">25,371.3 </t>
  </si>
  <si>
    <t xml:space="preserve">15,547.4 </t>
  </si>
  <si>
    <t>Argentina</t>
  </si>
  <si>
    <t>Armenia</t>
  </si>
  <si>
    <t>Australia</t>
  </si>
  <si>
    <t>Austria</t>
  </si>
  <si>
    <t>Azerbaijan</t>
  </si>
  <si>
    <t>Bahrain</t>
  </si>
  <si>
    <t>Bangladesh</t>
  </si>
  <si>
    <t>Barbados</t>
  </si>
  <si>
    <t>Belgium</t>
  </si>
  <si>
    <t>Bermuda</t>
  </si>
  <si>
    <t>Bolivia</t>
  </si>
  <si>
    <t>Botswana</t>
  </si>
  <si>
    <t>Brazil</t>
  </si>
  <si>
    <t>Bulgaria</t>
  </si>
  <si>
    <t>Canada</t>
  </si>
  <si>
    <t>Cayman Islands</t>
  </si>
  <si>
    <t>Chile</t>
  </si>
  <si>
    <t>China \1</t>
  </si>
  <si>
    <t>Colombia</t>
  </si>
  <si>
    <t>Costa Rica</t>
  </si>
  <si>
    <t>Cote d'Ivoire</t>
  </si>
  <si>
    <t>Croatia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</si>
  <si>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</si>
  <si>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</si>
  <si>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</si>
  <si>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</si>
  <si>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</si>
  <si>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</si>
  <si>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</si>
  <si>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</si>
  <si>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Fiji</t>
  </si>
  <si>
    <t>Finland</t>
  </si>
  <si>
    <t>France</t>
  </si>
  <si>
    <t xml:space="preserve">1,355.6 </t>
  </si>
  <si>
    <t>Germany</t>
  </si>
  <si>
    <t xml:space="preserve">1,079.0 </t>
  </si>
  <si>
    <t xml:space="preserve">1,147.2 </t>
  </si>
  <si>
    <t>Ghana</t>
  </si>
  <si>
    <t>Greece</t>
  </si>
  <si>
    <t>Guatemala</t>
  </si>
  <si>
    <t>Honduras</t>
  </si>
  <si>
    <t>Hong Kong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</si>
  <si>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</si>
  <si>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</si>
  <si>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</si>
  <si>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</si>
  <si>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</si>
  <si>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</si>
  <si>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</si>
  <si>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</si>
  <si>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</si>
  <si>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</si>
  <si>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 xml:space="preserve">2,126.1 </t>
  </si>
  <si>
    <t xml:space="preserve">3,040.7 </t>
  </si>
  <si>
    <t xml:space="preserve">1,573.3 </t>
  </si>
  <si>
    <t>Jordan</t>
  </si>
  <si>
    <t>Kazakhstan</t>
  </si>
  <si>
    <t>Kenya</t>
  </si>
  <si>
    <t>Korea, South</t>
  </si>
  <si>
    <t>Kuwait</t>
  </si>
  <si>
    <t>Latvia</t>
  </si>
  <si>
    <t>Lebanon</t>
  </si>
  <si>
    <t>Lithuania</t>
  </si>
  <si>
    <t>Luxembourg</t>
  </si>
  <si>
    <t>Malaysia</t>
  </si>
  <si>
    <t>Malta</t>
  </si>
  <si>
    <t>Mauritius</t>
  </si>
  <si>
    <t>Mexico</t>
  </si>
  <si>
    <t>Moldova</t>
  </si>
  <si>
    <t>Mongolia</t>
  </si>
  <si>
    <t>Morocco</t>
  </si>
  <si>
    <t>Namibia</t>
  </si>
  <si>
    <t>Nepal</t>
  </si>
  <si>
    <t>Netherlands</t>
  </si>
  <si>
    <t>New Zealand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</si>
  <si>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</si>
  <si>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</si>
  <si>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</si>
  <si>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</si>
  <si>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</si>
  <si>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</si>
  <si>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</si>
  <si>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</si>
  <si>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</si>
  <si>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</si>
  <si>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</si>
  <si>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</si>
  <si>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Saudi Arabia</t>
  </si>
  <si>
    <t>Singapore</t>
  </si>
  <si>
    <t>Slovakia</t>
  </si>
  <si>
    <t>Slovenia</t>
  </si>
  <si>
    <t>South Africa</t>
  </si>
  <si>
    <t>Spain</t>
  </si>
  <si>
    <t>Sri Lanka</t>
  </si>
  <si>
    <t>Swaziland</t>
  </si>
  <si>
    <t>Sweden</t>
  </si>
  <si>
    <t>Switzerland</t>
  </si>
  <si>
    <t>Taiwan \1</t>
  </si>
  <si>
    <t>Thailand</t>
  </si>
  <si>
    <t>Trinidad &amp; Tobago</t>
  </si>
  <si>
    <t>Tunisia</t>
  </si>
  <si>
    <t>Turkey</t>
  </si>
  <si>
    <t>Ukraine</t>
  </si>
  <si>
    <t>United Arab Emirates</t>
  </si>
  <si>
    <t>United Kingdom</t>
  </si>
  <si>
    <t xml:space="preserve">1,864.1 </t>
  </si>
  <si>
    <t xml:space="preserve">2,412.4 </t>
  </si>
  <si>
    <t xml:space="preserve">2,721.3 </t>
  </si>
  <si>
    <t xml:space="preserve">2,150.8 </t>
  </si>
  <si>
    <t>Uruguay</t>
  </si>
  <si>
    <t>Uzbekistan</t>
  </si>
  <si>
    <t>Venezuela</t>
  </si>
  <si>
    <t>West Bank &amp; Gaza</t>
  </si>
  <si>
    <t>Zambia</t>
  </si>
  <si>
    <t>Zimbabwe</t>
  </si>
  <si>
    <t>NA Not available.</t>
  </si>
  <si>
    <t>\1 With the establishment of diplomatic relations with China on January 1, 1979, the U.S. government</t>
  </si>
  <si>
    <t>recognized the People's Republic of China as the sole legal government of China and acknowledged</t>
  </si>
  <si>
    <t>the Chinese position that there is only one China and that Taiwan is part of China.</t>
  </si>
  <si>
    <t>Source: Standard and Poor's, New York, NY,</t>
  </si>
  <si>
    <t>US</t>
  </si>
  <si>
    <t>AR</t>
  </si>
  <si>
    <t>AM</t>
  </si>
  <si>
    <t>AS</t>
  </si>
  <si>
    <t>AU</t>
  </si>
  <si>
    <t>AJ</t>
  </si>
  <si>
    <t>BA</t>
  </si>
  <si>
    <t>BG</t>
  </si>
  <si>
    <t>BB</t>
  </si>
  <si>
    <t>BE</t>
  </si>
  <si>
    <t>BD</t>
  </si>
  <si>
    <t>BL</t>
  </si>
  <si>
    <t>BC</t>
  </si>
  <si>
    <t>BR</t>
  </si>
  <si>
    <t>BU</t>
  </si>
  <si>
    <t>CA</t>
  </si>
  <si>
    <t>CJ</t>
  </si>
  <si>
    <t>CI</t>
  </si>
  <si>
    <t>CH</t>
  </si>
  <si>
    <t>CO</t>
  </si>
  <si>
    <t>CS</t>
  </si>
  <si>
    <t>IV</t>
  </si>
  <si>
    <t>HR</t>
  </si>
  <si>
    <t>CY</t>
  </si>
  <si>
    <t>EZ</t>
  </si>
  <si>
    <t>DA</t>
  </si>
  <si>
    <t>DR</t>
  </si>
  <si>
    <t>EC</t>
  </si>
  <si>
    <t>EG</t>
  </si>
  <si>
    <t>ES</t>
  </si>
  <si>
    <t>EN</t>
  </si>
  <si>
    <t>FJ</t>
  </si>
  <si>
    <t>FI</t>
  </si>
  <si>
    <t>FR</t>
  </si>
  <si>
    <t>GM</t>
  </si>
  <si>
    <t>GH</t>
  </si>
  <si>
    <t>GR</t>
  </si>
  <si>
    <t>GT</t>
  </si>
  <si>
    <t>HO</t>
  </si>
  <si>
    <t>HK</t>
  </si>
  <si>
    <t>HU</t>
  </si>
  <si>
    <t>IC</t>
  </si>
  <si>
    <t>IN</t>
  </si>
  <si>
    <t>ID</t>
  </si>
  <si>
    <t>IR</t>
  </si>
  <si>
    <t>EI</t>
  </si>
  <si>
    <t>IS</t>
  </si>
  <si>
    <t>IT</t>
  </si>
  <si>
    <t>JM</t>
  </si>
  <si>
    <t>JA</t>
  </si>
  <si>
    <t>JO</t>
  </si>
  <si>
    <t>KZ</t>
  </si>
  <si>
    <t>KE</t>
  </si>
  <si>
    <t>KS</t>
  </si>
  <si>
    <t>KU</t>
  </si>
  <si>
    <t>LG</t>
  </si>
  <si>
    <t>LE</t>
  </si>
  <si>
    <t>LH</t>
  </si>
  <si>
    <t>LU</t>
  </si>
  <si>
    <t>MY</t>
  </si>
  <si>
    <t>MT</t>
  </si>
  <si>
    <t>MP</t>
  </si>
  <si>
    <t>MX</t>
  </si>
  <si>
    <t>MD</t>
  </si>
  <si>
    <t>MG</t>
  </si>
  <si>
    <t>MO</t>
  </si>
  <si>
    <t>WA</t>
  </si>
  <si>
    <t>NP</t>
  </si>
  <si>
    <t>NL</t>
  </si>
  <si>
    <t>NZ</t>
  </si>
  <si>
    <t>NI</t>
  </si>
  <si>
    <t>NO</t>
  </si>
  <si>
    <t>MU</t>
  </si>
  <si>
    <t>PK</t>
  </si>
  <si>
    <t>PM</t>
  </si>
  <si>
    <t>PA</t>
  </si>
  <si>
    <t>PE</t>
  </si>
  <si>
    <t>RP</t>
  </si>
  <si>
    <t>PL</t>
  </si>
  <si>
    <t>PO</t>
  </si>
  <si>
    <t>RO</t>
  </si>
  <si>
    <t>RS</t>
  </si>
  <si>
    <t>SA</t>
  </si>
  <si>
    <t>SN</t>
  </si>
  <si>
    <t>LO</t>
  </si>
  <si>
    <t>SI</t>
  </si>
  <si>
    <t>SF</t>
  </si>
  <si>
    <t>SP</t>
  </si>
  <si>
    <t>CE</t>
  </si>
  <si>
    <t>WZ</t>
  </si>
  <si>
    <t>SW</t>
  </si>
  <si>
    <t>SZ</t>
  </si>
  <si>
    <t>TW</t>
  </si>
  <si>
    <t>TH</t>
  </si>
  <si>
    <t>TS</t>
  </si>
  <si>
    <t>TU</t>
  </si>
  <si>
    <t>UP</t>
  </si>
  <si>
    <t>AE</t>
  </si>
  <si>
    <t>UK</t>
  </si>
  <si>
    <t>UY</t>
  </si>
  <si>
    <t>UZ</t>
  </si>
  <si>
    <t>VE</t>
  </si>
  <si>
    <t>ZA</t>
  </si>
  <si>
    <t>ZI</t>
  </si>
  <si>
    <t>MK</t>
  </si>
  <si>
    <t>TD</t>
  </si>
  <si>
    <t>WE/GZ</t>
  </si>
  <si>
    <t>SYMBOL</t>
  </si>
  <si>
    <t>FOOTNOTE</t>
  </si>
  <si>
    <t>Macedonia</t>
  </si>
  <si>
    <t>Country</t>
  </si>
  <si>
    <t>FIPS Code</t>
  </si>
  <si>
    <r>
      <t>[</t>
    </r>
    <r>
      <rPr>
        <b/>
        <sz val="12"/>
        <rFont val="Courier New"/>
        <family val="3"/>
      </rPr>
      <t>In billions of U.S. dollars (3,059.4 represents $3,059,400,000,000).</t>
    </r>
  </si>
  <si>
    <t>The market value of a company is the share price times the number of shares outstanding.</t>
  </si>
  <si>
    <t>Standard &amp; Poor's Emerging Stock Markets Factbook 2007 (copyright).</t>
  </si>
  <si>
    <t>[Back to data]</t>
  </si>
  <si>
    <t>HEADNOTE</t>
  </si>
  <si>
    <t>For more information:</t>
  </si>
  <si>
    <t>http://www2.standardandpoors.com/portal/site/sp/en/us/page.siteselection/site_selection/0,0,0,0,0,0,0,0,0,0,0,0,0,0,0,0.html</t>
  </si>
  <si>
    <t>[See notes]</t>
  </si>
  <si>
    <t>Market capitalization (billions of U.S. dollars)</t>
  </si>
  <si>
    <t>Value of shares traded (billions of U.S. dollars)</t>
  </si>
  <si>
    <r>
      <t>Table 1359.</t>
    </r>
    <r>
      <rPr>
        <b/>
        <sz val="12"/>
        <rFont val="Courier New"/>
        <family val="3"/>
      </rPr>
      <t xml:space="preserve"> United States and Foreign Stock Markets--Market Capitalization and Value of Shares Traded by Country: 2001 to 2006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</si>
</sst>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(* #,##0_);_(* \(#,##0\);_(* &quot;-&quot;??_);_(@_)"/>
    <numFmt numFmtId="174" formatCode="_(* #,##0.0_);_(* \(#,##0.0\);_(* &quot;-&quot;??_);_(@_)"/>
    <numFmt numFmtId="175" formatCode="#,##0.0_);\(#,##0.0\)"/>
    <numFmt numFmtId="176" formatCode="0.0000"/>
    <numFmt numFmtId="177" formatCode="0.000"/>
    <numFmt numFmtId="178" formatCode="0.0"/>
    <numFmt numFmtId="179" formatCode="_(* #,##0.0_);_(* \(#,##0.0\);_(* &quot;-&quot;?_);_(@_)"/>
    <numFmt numFmtId="180" formatCode="0.0%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fill"/>
    </xf>
    <xf numFmtId="3" fontId="0" fillId="0" borderId="1" xfId="0" applyNumberFormat="1" applyFont="1" applyBorder="1" applyAlignment="1">
      <alignment horizontal="fill"/>
    </xf>
    <xf numFmtId="0" fontId="0" fillId="0" borderId="0" xfId="0" applyFont="1" applyBorder="1" applyAlignment="1">
      <alignment horizontal="fill"/>
    </xf>
    <xf numFmtId="3" fontId="0" fillId="0" borderId="0" xfId="0" applyNumberFormat="1" applyFont="1" applyBorder="1" applyAlignment="1">
      <alignment horizontal="fill"/>
    </xf>
    <xf numFmtId="174" fontId="8" fillId="2" borderId="1" xfId="15" applyNumberFormat="1" applyFont="1" applyFill="1" applyBorder="1" applyAlignment="1">
      <alignment horizontal="right"/>
    </xf>
    <xf numFmtId="172" fontId="0" fillId="2" borderId="4" xfId="15" applyNumberFormat="1" applyFont="1" applyFill="1" applyBorder="1" applyAlignment="1">
      <alignment/>
    </xf>
    <xf numFmtId="172" fontId="0" fillId="0" borderId="0" xfId="15" applyNumberFormat="1" applyFont="1" applyBorder="1" applyAlignment="1">
      <alignment horizontal="right"/>
    </xf>
    <xf numFmtId="172" fontId="0" fillId="2" borderId="0" xfId="15" applyNumberFormat="1" applyFont="1" applyFill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5" xfId="15" applyNumberFormat="1" applyFont="1" applyFill="1" applyBorder="1" applyAlignment="1">
      <alignment/>
    </xf>
    <xf numFmtId="172" fontId="0" fillId="0" borderId="2" xfId="15" applyNumberFormat="1" applyFont="1" applyBorder="1" applyAlignment="1">
      <alignment horizontal="right"/>
    </xf>
    <xf numFmtId="172" fontId="0" fillId="2" borderId="2" xfId="15" applyNumberFormat="1" applyFont="1" applyFill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2" xfId="0" applyNumberFormat="1" applyFont="1" applyBorder="1" applyAlignment="1">
      <alignment horizontal="right"/>
    </xf>
    <xf numFmtId="172" fontId="0" fillId="2" borderId="2" xfId="15" applyNumberFormat="1" applyFont="1" applyFill="1" applyBorder="1" applyAlignment="1">
      <alignment horizontal="right"/>
    </xf>
    <xf numFmtId="174" fontId="8" fillId="2" borderId="3" xfId="15" applyNumberFormat="1" applyFont="1" applyFill="1" applyBorder="1" applyAlignment="1">
      <alignment horizontal="right"/>
    </xf>
    <xf numFmtId="0" fontId="4" fillId="0" borderId="0" xfId="17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standardandpoors.com/portal/site/sp/en/us/page.siteselection/site_selection/0,0,0,0,0,0,0,0,0,0,0,0,0,0,0,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showGridLines="0" tabSelected="1" showOutlineSymbol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2.19921875" style="1" customWidth="1"/>
    <col min="2" max="2" width="7.69921875" style="1" customWidth="1"/>
    <col min="3" max="6" width="11.296875" style="1" customWidth="1"/>
    <col min="7" max="8" width="12.19921875" style="1" customWidth="1"/>
    <col min="9" max="11" width="11.296875" style="1" customWidth="1"/>
    <col min="12" max="12" width="12.796875" style="1" customWidth="1"/>
    <col min="13" max="13" width="11.796875" style="1" customWidth="1"/>
    <col min="14" max="14" width="11.69921875" style="1" customWidth="1"/>
    <col min="15" max="16384" width="6.19921875" style="1" customWidth="1"/>
  </cols>
  <sheetData>
    <row r="1" ht="16.5">
      <c r="A1" s="1" t="s">
        <v>250</v>
      </c>
    </row>
    <row r="2" ht="15.75">
      <c r="B2" s="2"/>
    </row>
    <row r="3" ht="15.75">
      <c r="A3" s="27" t="s">
        <v>247</v>
      </c>
    </row>
    <row r="4" spans="7:14" ht="15.75">
      <c r="G4" s="3"/>
      <c r="H4" s="3"/>
      <c r="I4" s="3"/>
      <c r="J4" s="3"/>
      <c r="K4" s="3"/>
      <c r="L4" s="3"/>
      <c r="M4" s="3"/>
      <c r="N4" s="3"/>
    </row>
    <row r="5" spans="1:14" ht="15.75">
      <c r="A5" s="36" t="s">
        <v>238</v>
      </c>
      <c r="B5" s="39" t="s">
        <v>239</v>
      </c>
      <c r="C5" s="28" t="s">
        <v>248</v>
      </c>
      <c r="D5" s="28"/>
      <c r="E5" s="28"/>
      <c r="F5" s="28"/>
      <c r="G5" s="28"/>
      <c r="H5" s="29"/>
      <c r="I5" s="28" t="s">
        <v>249</v>
      </c>
      <c r="J5" s="28"/>
      <c r="K5" s="28"/>
      <c r="L5" s="28"/>
      <c r="M5" s="29"/>
      <c r="N5" s="29"/>
    </row>
    <row r="6" spans="1:14" ht="15.75">
      <c r="A6" s="37"/>
      <c r="B6" s="33"/>
      <c r="C6" s="30"/>
      <c r="D6" s="30"/>
      <c r="E6" s="30"/>
      <c r="F6" s="30"/>
      <c r="G6" s="30"/>
      <c r="H6" s="31"/>
      <c r="I6" s="30"/>
      <c r="J6" s="30"/>
      <c r="K6" s="30"/>
      <c r="L6" s="30"/>
      <c r="M6" s="31"/>
      <c r="N6" s="31"/>
    </row>
    <row r="7" spans="1:14" ht="15.75" customHeight="1">
      <c r="A7" s="37"/>
      <c r="B7" s="33"/>
      <c r="C7" s="41">
        <v>2001</v>
      </c>
      <c r="D7" s="35">
        <v>2002</v>
      </c>
      <c r="E7" s="35">
        <v>2003</v>
      </c>
      <c r="F7" s="35">
        <v>2004</v>
      </c>
      <c r="G7" s="35">
        <v>2005</v>
      </c>
      <c r="H7" s="32">
        <v>2006</v>
      </c>
      <c r="I7" s="41">
        <v>2001</v>
      </c>
      <c r="J7" s="35">
        <v>2002</v>
      </c>
      <c r="K7" s="35">
        <v>2003</v>
      </c>
      <c r="L7" s="35">
        <v>2004</v>
      </c>
      <c r="M7" s="35">
        <v>2005</v>
      </c>
      <c r="N7" s="35">
        <v>2006</v>
      </c>
    </row>
    <row r="8" spans="1:14" ht="15.75">
      <c r="A8" s="38"/>
      <c r="B8" s="34"/>
      <c r="C8" s="42"/>
      <c r="D8" s="40"/>
      <c r="E8" s="40"/>
      <c r="F8" s="40"/>
      <c r="G8" s="40"/>
      <c r="H8" s="43"/>
      <c r="I8" s="42"/>
      <c r="J8" s="40"/>
      <c r="K8" s="40"/>
      <c r="L8" s="40"/>
      <c r="M8" s="40"/>
      <c r="N8" s="40"/>
    </row>
    <row r="9" spans="1:14" ht="15.75">
      <c r="A9" s="4" t="s">
        <v>2</v>
      </c>
      <c r="B9" s="4" t="s">
        <v>128</v>
      </c>
      <c r="C9" s="6">
        <v>13983.9</v>
      </c>
      <c r="D9" s="6" t="s">
        <v>4</v>
      </c>
      <c r="E9" s="6" t="s">
        <v>5</v>
      </c>
      <c r="F9" s="6">
        <v>16323.72633</v>
      </c>
      <c r="G9" s="15">
        <v>16970.86454806</v>
      </c>
      <c r="H9" s="20">
        <v>19425.854794360002</v>
      </c>
      <c r="I9" s="6">
        <v>23030.5</v>
      </c>
      <c r="J9" s="6" t="s">
        <v>6</v>
      </c>
      <c r="K9" s="6" t="s">
        <v>7</v>
      </c>
      <c r="L9" s="7">
        <v>19354.89868813509</v>
      </c>
      <c r="M9" s="7">
        <v>21509.97944531507</v>
      </c>
      <c r="N9" s="7">
        <v>33267.642577223</v>
      </c>
    </row>
    <row r="10" spans="1:14" ht="15.75">
      <c r="A10" s="8"/>
      <c r="B10" s="9"/>
      <c r="C10" s="6"/>
      <c r="D10" s="6"/>
      <c r="E10" s="6"/>
      <c r="F10" s="6"/>
      <c r="G10" s="16"/>
      <c r="H10" s="21"/>
      <c r="I10" s="6"/>
      <c r="J10" s="6"/>
      <c r="K10" s="6"/>
      <c r="L10" s="7"/>
      <c r="M10" s="7"/>
      <c r="N10" s="7"/>
    </row>
    <row r="11" spans="1:14" ht="15.75">
      <c r="A11" s="4" t="s">
        <v>8</v>
      </c>
      <c r="B11" s="4" t="s">
        <v>129</v>
      </c>
      <c r="C11" s="6">
        <v>192.5</v>
      </c>
      <c r="D11" s="6">
        <f>103.4</f>
        <v>103.4</v>
      </c>
      <c r="E11" s="6">
        <f>38.9</f>
        <v>38.9</v>
      </c>
      <c r="F11" s="6">
        <v>46.432019999999994</v>
      </c>
      <c r="G11" s="17">
        <v>61.47759</v>
      </c>
      <c r="H11" s="22">
        <v>79.73041</v>
      </c>
      <c r="I11" s="6">
        <v>6.6</v>
      </c>
      <c r="J11" s="6">
        <v>1.4</v>
      </c>
      <c r="K11" s="6">
        <v>4.9</v>
      </c>
      <c r="L11" s="7">
        <v>7.64223</v>
      </c>
      <c r="M11" s="7">
        <v>16.425639999999998</v>
      </c>
      <c r="N11" s="7">
        <v>4.53344</v>
      </c>
    </row>
    <row r="12" spans="1:14" ht="15.75">
      <c r="A12" s="4" t="s">
        <v>9</v>
      </c>
      <c r="B12" s="9" t="s">
        <v>130</v>
      </c>
      <c r="C12" s="6" t="s">
        <v>3</v>
      </c>
      <c r="D12" s="6">
        <f>0</f>
        <v>0</v>
      </c>
      <c r="E12" s="6">
        <f>0</f>
        <v>0</v>
      </c>
      <c r="F12" s="6">
        <v>0.01810480816729788</v>
      </c>
      <c r="G12" s="17">
        <v>0.0428</v>
      </c>
      <c r="H12" s="22">
        <v>0.06017148387895461</v>
      </c>
      <c r="I12" s="6" t="s">
        <v>3</v>
      </c>
      <c r="J12" s="6">
        <v>0</v>
      </c>
      <c r="K12" s="6">
        <v>0</v>
      </c>
      <c r="L12" s="7">
        <v>0.0016048098229743217</v>
      </c>
      <c r="M12" s="7">
        <v>0.0011144384778842115</v>
      </c>
      <c r="N12" s="7">
        <v>0.004840125567859589</v>
      </c>
    </row>
    <row r="13" spans="1:14" ht="15.75">
      <c r="A13" s="4" t="s">
        <v>10</v>
      </c>
      <c r="B13" s="4" t="s">
        <v>131</v>
      </c>
      <c r="C13" s="6">
        <v>374.3</v>
      </c>
      <c r="D13" s="6">
        <f>381</f>
        <v>381</v>
      </c>
      <c r="E13" s="6">
        <f>585.5</f>
        <v>585.5</v>
      </c>
      <c r="F13" s="6">
        <v>776.4027592694206</v>
      </c>
      <c r="G13" s="17">
        <v>804.0738023622625</v>
      </c>
      <c r="H13" s="22">
        <v>1095.8579648459054</v>
      </c>
      <c r="I13" s="6">
        <v>240</v>
      </c>
      <c r="J13" s="6">
        <v>294.7</v>
      </c>
      <c r="K13" s="6">
        <v>369.8</v>
      </c>
      <c r="L13" s="7">
        <v>514.2490345492962</v>
      </c>
      <c r="M13" s="7">
        <v>616.1154033910173</v>
      </c>
      <c r="N13" s="7">
        <v>826.285328776954</v>
      </c>
    </row>
    <row r="14" spans="1:14" ht="15.75">
      <c r="A14" s="4" t="s">
        <v>11</v>
      </c>
      <c r="B14" s="4" t="s">
        <v>132</v>
      </c>
      <c r="C14" s="6">
        <v>25.2</v>
      </c>
      <c r="D14" s="6">
        <f>31.7</f>
        <v>31.7</v>
      </c>
      <c r="E14" s="6">
        <f>54.5</f>
        <v>54.5</v>
      </c>
      <c r="F14" s="6">
        <v>85.81487019165421</v>
      </c>
      <c r="G14" s="17">
        <v>124.38952459596555</v>
      </c>
      <c r="H14" s="22">
        <v>191.3002769352499</v>
      </c>
      <c r="I14" s="6">
        <v>7.7</v>
      </c>
      <c r="J14" s="6">
        <v>5.8</v>
      </c>
      <c r="K14" s="6">
        <v>10.8</v>
      </c>
      <c r="L14" s="7">
        <v>23.831594430890206</v>
      </c>
      <c r="M14" s="7">
        <v>45.900522742747945</v>
      </c>
      <c r="N14" s="7">
        <v>79.57368942225679</v>
      </c>
    </row>
    <row r="15" spans="1:14" ht="15.75">
      <c r="A15" s="4" t="s">
        <v>12</v>
      </c>
      <c r="B15" s="9" t="s">
        <v>133</v>
      </c>
      <c r="C15" s="6" t="s">
        <v>3</v>
      </c>
      <c r="D15" s="6" t="s">
        <v>3</v>
      </c>
      <c r="E15" s="6" t="s">
        <v>3</v>
      </c>
      <c r="F15" s="7"/>
      <c r="G15" s="18"/>
      <c r="H15" s="23"/>
      <c r="I15" s="6" t="s">
        <v>3</v>
      </c>
      <c r="J15" s="6" t="s">
        <v>3</v>
      </c>
      <c r="K15" s="6" t="s">
        <v>3</v>
      </c>
      <c r="L15" s="6" t="s">
        <v>3</v>
      </c>
      <c r="M15" s="6" t="s">
        <v>3</v>
      </c>
      <c r="N15" s="6" t="s">
        <v>3</v>
      </c>
    </row>
    <row r="16" spans="1:14" ht="15.75">
      <c r="A16" s="4" t="s">
        <v>13</v>
      </c>
      <c r="B16" s="9" t="s">
        <v>134</v>
      </c>
      <c r="C16" s="6">
        <v>6.6</v>
      </c>
      <c r="D16" s="6">
        <f>6.9</f>
        <v>6.9</v>
      </c>
      <c r="E16" s="6">
        <f>9.7</f>
        <v>9.7</v>
      </c>
      <c r="F16" s="6">
        <v>13.51318</v>
      </c>
      <c r="G16" s="17">
        <v>17.3643</v>
      </c>
      <c r="H16" s="22">
        <v>21.12239</v>
      </c>
      <c r="I16" s="6">
        <v>0.2</v>
      </c>
      <c r="J16" s="6">
        <v>0.2</v>
      </c>
      <c r="K16" s="6">
        <v>0.3</v>
      </c>
      <c r="L16" s="7">
        <v>0.4131</v>
      </c>
      <c r="M16" s="7">
        <v>0.71109</v>
      </c>
      <c r="N16" s="7">
        <v>1.43248</v>
      </c>
    </row>
    <row r="17" spans="1:14" ht="15.75">
      <c r="A17" s="4" t="s">
        <v>14</v>
      </c>
      <c r="B17" s="9" t="s">
        <v>135</v>
      </c>
      <c r="C17" s="6">
        <v>1.1</v>
      </c>
      <c r="D17" s="6">
        <f>1.2</f>
        <v>1.2</v>
      </c>
      <c r="E17" s="6">
        <f>1.6</f>
        <v>1.6</v>
      </c>
      <c r="F17" s="6">
        <v>3.31698</v>
      </c>
      <c r="G17" s="17">
        <v>3.0354</v>
      </c>
      <c r="H17" s="22">
        <v>3.6102600000000002</v>
      </c>
      <c r="I17" s="6">
        <v>1</v>
      </c>
      <c r="J17" s="6">
        <v>0.7</v>
      </c>
      <c r="K17" s="6">
        <v>0.3</v>
      </c>
      <c r="L17" s="7">
        <v>0.89028</v>
      </c>
      <c r="M17" s="7">
        <v>1.00043</v>
      </c>
      <c r="N17" s="7">
        <v>0.94292</v>
      </c>
    </row>
    <row r="18" spans="1:14" ht="15.75">
      <c r="A18" s="4" t="s">
        <v>15</v>
      </c>
      <c r="B18" s="9" t="s">
        <v>136</v>
      </c>
      <c r="C18" s="6">
        <v>1.8</v>
      </c>
      <c r="D18" s="6">
        <f>3.4</f>
        <v>3.4</v>
      </c>
      <c r="E18" s="6">
        <f>3.5</f>
        <v>3.5</v>
      </c>
      <c r="F18" s="6">
        <v>5.229773869346734</v>
      </c>
      <c r="G18" s="17">
        <v>5.512884422110552</v>
      </c>
      <c r="H18" s="22">
        <v>4.954359467799999</v>
      </c>
      <c r="I18" s="6">
        <v>0</v>
      </c>
      <c r="J18" s="6">
        <v>0.8</v>
      </c>
      <c r="K18" s="6">
        <v>0.1</v>
      </c>
      <c r="L18" s="7">
        <v>0.226914783919598</v>
      </c>
      <c r="M18" s="7">
        <v>0.09101507537688443</v>
      </c>
      <c r="N18" s="7">
        <v>1.035825828045</v>
      </c>
    </row>
    <row r="19" spans="1:14" ht="15.75">
      <c r="A19" s="4" t="s">
        <v>16</v>
      </c>
      <c r="B19" s="4" t="s">
        <v>137</v>
      </c>
      <c r="C19" s="6">
        <v>1843.5</v>
      </c>
      <c r="D19" s="6">
        <f>127.6</f>
        <v>127.6</v>
      </c>
      <c r="E19" s="6">
        <f>173.6</f>
        <v>173.6</v>
      </c>
      <c r="F19" s="6">
        <v>768.3766383729237</v>
      </c>
      <c r="G19" s="17">
        <v>288.5150867052023</v>
      </c>
      <c r="H19" s="22">
        <v>396.2201828618357</v>
      </c>
      <c r="I19" s="6">
        <v>3172.6</v>
      </c>
      <c r="J19" s="6">
        <v>33.8</v>
      </c>
      <c r="K19" s="6">
        <v>37.5</v>
      </c>
      <c r="L19" s="7">
        <v>70.29347932518013</v>
      </c>
      <c r="M19" s="7">
        <v>125.72780093469747</v>
      </c>
      <c r="N19" s="7">
        <v>165.91985559168822</v>
      </c>
    </row>
    <row r="20" spans="1:14" ht="15" customHeight="1">
      <c r="A20" s="4" t="s">
        <v>17</v>
      </c>
      <c r="B20" s="9" t="s">
        <v>138</v>
      </c>
      <c r="C20" s="6">
        <v>2.5</v>
      </c>
      <c r="D20" s="6">
        <f>2.2</f>
        <v>2.2</v>
      </c>
      <c r="E20" s="6">
        <f>2.9</f>
        <v>2.9</v>
      </c>
      <c r="F20" s="6">
        <v>1.852</v>
      </c>
      <c r="G20" s="17">
        <v>2.1247800000000003</v>
      </c>
      <c r="H20" s="22">
        <v>2.704330402</v>
      </c>
      <c r="I20" s="6">
        <v>0.2</v>
      </c>
      <c r="J20" s="6">
        <v>0.1</v>
      </c>
      <c r="K20" s="6">
        <v>0.1</v>
      </c>
      <c r="L20" s="7">
        <v>0.06395</v>
      </c>
      <c r="M20" s="7">
        <v>0.07404000000000001</v>
      </c>
      <c r="N20" s="7">
        <v>0.15218199999999998</v>
      </c>
    </row>
    <row r="21" spans="1:14" ht="15.75">
      <c r="A21" s="4" t="s">
        <v>18</v>
      </c>
      <c r="B21" s="9" t="s">
        <v>139</v>
      </c>
      <c r="C21" s="6">
        <v>1.6</v>
      </c>
      <c r="D21" s="6">
        <f>1.5</f>
        <v>1.5</v>
      </c>
      <c r="E21" s="6">
        <f>1.3</f>
        <v>1.3</v>
      </c>
      <c r="F21" s="6">
        <v>1.9880857829871907</v>
      </c>
      <c r="G21" s="17">
        <v>2.2</v>
      </c>
      <c r="H21" s="22">
        <v>2.222926829268293</v>
      </c>
      <c r="I21" s="6">
        <v>0</v>
      </c>
      <c r="J21" s="6">
        <v>0</v>
      </c>
      <c r="K21" s="6">
        <v>0</v>
      </c>
      <c r="L21" s="7">
        <v>0.004450543929089539</v>
      </c>
      <c r="M21" s="7">
        <v>0.0016981484944828876</v>
      </c>
      <c r="N21" s="7">
        <v>0.0009423261413383364</v>
      </c>
    </row>
    <row r="22" spans="1:14" ht="15.75">
      <c r="A22" s="4" t="s">
        <v>19</v>
      </c>
      <c r="B22" s="9" t="s">
        <v>140</v>
      </c>
      <c r="C22" s="6">
        <v>1.3</v>
      </c>
      <c r="D22" s="6">
        <f>1.7</f>
        <v>1.7</v>
      </c>
      <c r="E22" s="6">
        <f>2.1</f>
        <v>2.1</v>
      </c>
      <c r="F22" s="6">
        <v>2.54827</v>
      </c>
      <c r="G22" s="17">
        <v>2.43673</v>
      </c>
      <c r="H22" s="22">
        <v>3.94698</v>
      </c>
      <c r="I22" s="6">
        <v>0.1</v>
      </c>
      <c r="J22" s="6">
        <v>0.1</v>
      </c>
      <c r="K22" s="6">
        <v>0.1</v>
      </c>
      <c r="L22" s="7">
        <v>0.05021</v>
      </c>
      <c r="M22" s="7">
        <v>0.04507</v>
      </c>
      <c r="N22" s="7">
        <v>0.07259</v>
      </c>
    </row>
    <row r="23" spans="1:14" ht="15.75">
      <c r="A23" s="4" t="s">
        <v>20</v>
      </c>
      <c r="B23" s="4" t="s">
        <v>141</v>
      </c>
      <c r="C23" s="6">
        <v>186.2</v>
      </c>
      <c r="D23" s="6">
        <f>123.8</f>
        <v>123.8</v>
      </c>
      <c r="E23" s="6">
        <f>234.6</f>
        <v>234.6</v>
      </c>
      <c r="F23" s="6">
        <v>330.34658</v>
      </c>
      <c r="G23" s="17">
        <v>474.64688</v>
      </c>
      <c r="H23" s="22">
        <v>711.09991</v>
      </c>
      <c r="I23" s="6">
        <v>57.9</v>
      </c>
      <c r="J23" s="6">
        <v>48.2</v>
      </c>
      <c r="K23" s="6">
        <v>60.4</v>
      </c>
      <c r="L23" s="7">
        <v>93.58012</v>
      </c>
      <c r="M23" s="7">
        <v>154.23210999999998</v>
      </c>
      <c r="N23" s="7">
        <v>254.51299</v>
      </c>
    </row>
    <row r="24" spans="1:14" ht="15.75">
      <c r="A24" s="4" t="s">
        <v>21</v>
      </c>
      <c r="B24" s="9" t="s">
        <v>142</v>
      </c>
      <c r="C24" s="6">
        <v>0.5</v>
      </c>
      <c r="D24" s="6">
        <f>0.7</f>
        <v>0.7</v>
      </c>
      <c r="E24" s="6">
        <f>1.8</f>
        <v>1.8</v>
      </c>
      <c r="F24" s="6">
        <v>2.80396</v>
      </c>
      <c r="G24" s="17">
        <v>5.08559</v>
      </c>
      <c r="H24" s="22">
        <v>10.32498</v>
      </c>
      <c r="I24" s="6">
        <v>0.1</v>
      </c>
      <c r="J24" s="6">
        <v>0.2</v>
      </c>
      <c r="K24" s="6">
        <v>0.2</v>
      </c>
      <c r="L24" s="7">
        <v>0.51089</v>
      </c>
      <c r="M24" s="7">
        <v>1.38839</v>
      </c>
      <c r="N24" s="7">
        <v>1.50901</v>
      </c>
    </row>
    <row r="25" spans="1:14" ht="15.75">
      <c r="A25" s="4" t="s">
        <v>22</v>
      </c>
      <c r="B25" s="4" t="s">
        <v>143</v>
      </c>
      <c r="C25" s="6">
        <v>615.3</v>
      </c>
      <c r="D25" s="6">
        <f>575.3</f>
        <v>575.3</v>
      </c>
      <c r="E25" s="6">
        <f>894</f>
        <v>894</v>
      </c>
      <c r="F25" s="6">
        <v>1177.5179435820398</v>
      </c>
      <c r="G25" s="17">
        <v>1480.8911145351824</v>
      </c>
      <c r="H25" s="22">
        <v>1700.708086276532</v>
      </c>
      <c r="I25" s="6">
        <v>446.3</v>
      </c>
      <c r="J25" s="6">
        <v>406.1</v>
      </c>
      <c r="K25" s="6">
        <v>467.8</v>
      </c>
      <c r="L25" s="7">
        <v>653.9160625213794</v>
      </c>
      <c r="M25" s="7">
        <v>845.0165676923557</v>
      </c>
      <c r="N25" s="7">
        <v>1290.2464471247295</v>
      </c>
    </row>
    <row r="26" spans="1:14" ht="15.75">
      <c r="A26" s="4" t="s">
        <v>23</v>
      </c>
      <c r="B26" s="9" t="s">
        <v>144</v>
      </c>
      <c r="C26" s="6">
        <v>0.2</v>
      </c>
      <c r="D26" s="6">
        <f>0.1</f>
        <v>0.1</v>
      </c>
      <c r="E26" s="6" t="s">
        <v>3</v>
      </c>
      <c r="F26" s="6">
        <v>0.146772556</v>
      </c>
      <c r="G26" s="17">
        <v>0.110079</v>
      </c>
      <c r="H26" s="22">
        <v>0.188359</v>
      </c>
      <c r="I26" s="6" t="s">
        <v>3</v>
      </c>
      <c r="J26" s="6" t="s">
        <v>3</v>
      </c>
      <c r="K26" s="6" t="s">
        <v>3</v>
      </c>
      <c r="L26" s="6" t="s">
        <v>3</v>
      </c>
      <c r="M26" s="6">
        <v>0</v>
      </c>
      <c r="N26" s="6">
        <v>0.001584781</v>
      </c>
    </row>
    <row r="27" spans="1:14" ht="15.75">
      <c r="A27" s="4" t="s">
        <v>24</v>
      </c>
      <c r="B27" s="4" t="s">
        <v>145</v>
      </c>
      <c r="C27" s="6">
        <v>56.7</v>
      </c>
      <c r="D27" s="6">
        <f>47.6</f>
        <v>47.6</v>
      </c>
      <c r="E27" s="6">
        <f>86.3</f>
        <v>86.3</v>
      </c>
      <c r="F27" s="6">
        <v>117.06483999999999</v>
      </c>
      <c r="G27" s="17">
        <v>136.44576999999998</v>
      </c>
      <c r="H27" s="22">
        <v>174.55573</v>
      </c>
      <c r="I27" s="6">
        <v>4.1</v>
      </c>
      <c r="J27" s="6">
        <v>3.1</v>
      </c>
      <c r="K27" s="6">
        <v>6.5</v>
      </c>
      <c r="L27" s="7">
        <v>11.59125</v>
      </c>
      <c r="M27" s="7">
        <v>18.86928</v>
      </c>
      <c r="N27" s="7">
        <v>28.75345</v>
      </c>
    </row>
    <row r="28" spans="1:14" ht="15.75">
      <c r="A28" s="4" t="s">
        <v>25</v>
      </c>
      <c r="B28" s="4" t="s">
        <v>146</v>
      </c>
      <c r="C28" s="6">
        <v>524</v>
      </c>
      <c r="D28" s="6">
        <f>463.1</f>
        <v>463.1</v>
      </c>
      <c r="E28" s="6">
        <f>681.2</f>
        <v>681.2</v>
      </c>
      <c r="F28" s="6">
        <v>639.7645500000001</v>
      </c>
      <c r="G28" s="17">
        <v>780.76272</v>
      </c>
      <c r="H28" s="22">
        <v>2426.3258228000004</v>
      </c>
      <c r="I28" s="6">
        <v>718.2</v>
      </c>
      <c r="J28" s="6">
        <v>333.4</v>
      </c>
      <c r="K28" s="6">
        <v>476.8</v>
      </c>
      <c r="L28" s="7">
        <v>748.27399</v>
      </c>
      <c r="M28" s="7">
        <v>586.3008100000001</v>
      </c>
      <c r="N28" s="7">
        <v>1635.1206000000002</v>
      </c>
    </row>
    <row r="29" spans="1:14" ht="15.75">
      <c r="A29" s="4" t="s">
        <v>26</v>
      </c>
      <c r="B29" s="9" t="s">
        <v>147</v>
      </c>
      <c r="C29" s="6">
        <v>13.2</v>
      </c>
      <c r="D29" s="6">
        <f>9.7</f>
        <v>9.7</v>
      </c>
      <c r="E29" s="6">
        <f>14.3</f>
        <v>14.3</v>
      </c>
      <c r="F29" s="6">
        <v>25.22288</v>
      </c>
      <c r="G29" s="17">
        <v>46.01619</v>
      </c>
      <c r="H29" s="22">
        <v>56.20432</v>
      </c>
      <c r="I29" s="6">
        <v>0.3</v>
      </c>
      <c r="J29" s="6">
        <v>0.3</v>
      </c>
      <c r="K29" s="6">
        <v>0.4</v>
      </c>
      <c r="L29" s="7">
        <v>1.46152</v>
      </c>
      <c r="M29" s="7">
        <v>6.363390000000001</v>
      </c>
      <c r="N29" s="7">
        <v>11.32276</v>
      </c>
    </row>
    <row r="30" spans="1:14" ht="15.75">
      <c r="A30" s="4" t="s">
        <v>27</v>
      </c>
      <c r="B30" s="9" t="s">
        <v>148</v>
      </c>
      <c r="C30" s="6" t="s">
        <v>3</v>
      </c>
      <c r="D30" s="6">
        <f>2.1</f>
        <v>2.1</v>
      </c>
      <c r="E30" s="6">
        <f>1.7</f>
        <v>1.7</v>
      </c>
      <c r="F30" s="6">
        <v>1.9200228959999999</v>
      </c>
      <c r="G30" s="17">
        <v>1.4782192941306755</v>
      </c>
      <c r="H30" s="22">
        <v>1.944329893975289</v>
      </c>
      <c r="I30" s="6" t="s">
        <v>3</v>
      </c>
      <c r="J30" s="6" t="s">
        <v>3</v>
      </c>
      <c r="K30" s="6" t="s">
        <v>3</v>
      </c>
      <c r="L30" s="7">
        <v>0.12159</v>
      </c>
      <c r="M30" s="7">
        <v>0.02488081654017273</v>
      </c>
      <c r="N30" s="7">
        <v>0.05324164239857046</v>
      </c>
    </row>
    <row r="31" spans="1:14" ht="15.75">
      <c r="A31" s="4" t="s">
        <v>28</v>
      </c>
      <c r="B31" s="9" t="s">
        <v>149</v>
      </c>
      <c r="C31" s="6">
        <v>1.2</v>
      </c>
      <c r="D31" s="6">
        <f>1.3</f>
        <v>1.3</v>
      </c>
      <c r="E31" s="6">
        <f>1.7</f>
        <v>1.7</v>
      </c>
      <c r="F31" s="6">
        <v>2.08262</v>
      </c>
      <c r="G31" s="17">
        <v>2.3273800000000002</v>
      </c>
      <c r="H31" s="22">
        <v>4.15526</v>
      </c>
      <c r="I31" s="6">
        <v>0</v>
      </c>
      <c r="J31" s="6">
        <v>0</v>
      </c>
      <c r="K31" s="6">
        <v>0</v>
      </c>
      <c r="L31" s="7">
        <v>0.04714</v>
      </c>
      <c r="M31" s="7">
        <v>0.03118</v>
      </c>
      <c r="N31" s="7">
        <v>0.10701000000000001</v>
      </c>
    </row>
    <row r="32" spans="1:14" ht="15.75">
      <c r="A32" s="4" t="s">
        <v>29</v>
      </c>
      <c r="B32" s="9" t="s">
        <v>150</v>
      </c>
      <c r="C32" s="6">
        <v>3.1</v>
      </c>
      <c r="D32" s="6">
        <f>4</f>
        <v>4</v>
      </c>
      <c r="E32" s="6">
        <f>6.1</f>
        <v>6.1</v>
      </c>
      <c r="F32" s="6">
        <v>10.958639999999999</v>
      </c>
      <c r="G32" s="17">
        <v>12.91799</v>
      </c>
      <c r="H32" s="22">
        <v>29.00563</v>
      </c>
      <c r="I32" s="6">
        <v>0.2</v>
      </c>
      <c r="J32" s="6">
        <v>0.1</v>
      </c>
      <c r="K32" s="6">
        <v>0.2</v>
      </c>
      <c r="L32" s="7">
        <v>0.49413</v>
      </c>
      <c r="M32" s="7">
        <v>0.7982</v>
      </c>
      <c r="N32" s="7">
        <v>1.82286</v>
      </c>
    </row>
    <row r="33" spans="1:14" ht="15.75">
      <c r="A33" s="4" t="s">
        <v>30</v>
      </c>
      <c r="B33" s="9" t="s">
        <v>151</v>
      </c>
      <c r="C33" s="6">
        <v>9.2</v>
      </c>
      <c r="D33" s="6">
        <f>1.5</f>
        <v>1.5</v>
      </c>
      <c r="E33" s="6">
        <f>1</f>
        <v>1</v>
      </c>
      <c r="F33" s="6">
        <v>4.880184572098477</v>
      </c>
      <c r="G33" s="17">
        <v>6.583190757045875</v>
      </c>
      <c r="H33" s="22">
        <v>15.900114025085518</v>
      </c>
      <c r="I33" s="6">
        <v>1.4</v>
      </c>
      <c r="J33" s="6">
        <v>0.2</v>
      </c>
      <c r="K33" s="6">
        <v>0.1</v>
      </c>
      <c r="L33" s="7">
        <v>0.17614485952497483</v>
      </c>
      <c r="M33" s="7">
        <v>0.4085788524009833</v>
      </c>
      <c r="N33" s="7">
        <v>4.303796066782745</v>
      </c>
    </row>
    <row r="34" spans="1:14" ht="15.75">
      <c r="A34" s="4" t="s">
        <v>31</v>
      </c>
      <c r="B34" s="9" t="s">
        <v>152</v>
      </c>
      <c r="C34" s="6">
        <v>9.2</v>
      </c>
      <c r="D34" s="6">
        <f>15.9</f>
        <v>15.9</v>
      </c>
      <c r="E34" s="6">
        <f>17.7</f>
        <v>17.7</v>
      </c>
      <c r="F34" s="6">
        <v>30.86306</v>
      </c>
      <c r="G34" s="17">
        <v>38.345150000000004</v>
      </c>
      <c r="H34" s="22">
        <v>48.60425</v>
      </c>
      <c r="I34" s="6">
        <v>3.5</v>
      </c>
      <c r="J34" s="6">
        <v>6.1</v>
      </c>
      <c r="K34" s="6">
        <v>8.8</v>
      </c>
      <c r="L34" s="7">
        <v>17.663349999999998</v>
      </c>
      <c r="M34" s="7">
        <v>41.040169999999996</v>
      </c>
      <c r="N34" s="7">
        <v>32.875339999999994</v>
      </c>
    </row>
    <row r="35" spans="1:14" ht="15.75">
      <c r="A35" s="4" t="s">
        <v>32</v>
      </c>
      <c r="B35" s="4" t="s">
        <v>153</v>
      </c>
      <c r="C35" s="6">
        <v>85.2</v>
      </c>
      <c r="D35" s="6">
        <f>76.8</f>
        <v>76.8</v>
      </c>
      <c r="E35" s="6">
        <f>128</f>
        <v>128</v>
      </c>
      <c r="F35" s="6">
        <v>151.34234571098162</v>
      </c>
      <c r="G35" s="17">
        <v>178.03827293713448</v>
      </c>
      <c r="H35" s="22">
        <v>231.01461126612654</v>
      </c>
      <c r="I35" s="6">
        <v>91.8</v>
      </c>
      <c r="J35" s="6">
        <v>51.6</v>
      </c>
      <c r="K35" s="6">
        <v>67</v>
      </c>
      <c r="L35" s="7">
        <v>97.45027942617389</v>
      </c>
      <c r="M35" s="7">
        <v>152.04816725611258</v>
      </c>
      <c r="N35" s="7">
        <v>176.6613445233242</v>
      </c>
    </row>
    <row r="36" spans="1:14" ht="15.75">
      <c r="A36" s="4" t="s">
        <v>33</v>
      </c>
      <c r="B36" s="9" t="s">
        <v>154</v>
      </c>
      <c r="C36" s="6" t="s">
        <v>3</v>
      </c>
      <c r="D36" s="6" t="s">
        <v>3</v>
      </c>
      <c r="E36" s="6" t="s">
        <v>3</v>
      </c>
      <c r="F36" s="6" t="s">
        <v>3</v>
      </c>
      <c r="G36" s="6" t="s">
        <v>3</v>
      </c>
      <c r="H36" s="24" t="s">
        <v>3</v>
      </c>
      <c r="I36" s="6" t="s">
        <v>3</v>
      </c>
      <c r="J36" s="6" t="s">
        <v>3</v>
      </c>
      <c r="K36" s="6" t="s">
        <v>3</v>
      </c>
      <c r="L36" s="6" t="s">
        <v>3</v>
      </c>
      <c r="M36" s="6" t="s">
        <v>3</v>
      </c>
      <c r="N36" s="6" t="s">
        <v>3</v>
      </c>
    </row>
    <row r="37" spans="1:14" ht="15.75">
      <c r="A37" s="4" t="s">
        <v>34</v>
      </c>
      <c r="B37" s="9" t="s">
        <v>155</v>
      </c>
      <c r="C37" s="6">
        <v>1.4</v>
      </c>
      <c r="D37" s="6">
        <f>1.8</f>
        <v>1.8</v>
      </c>
      <c r="E37" s="6">
        <f>2.2</f>
        <v>2.2</v>
      </c>
      <c r="F37" s="6">
        <v>2.58063</v>
      </c>
      <c r="G37" s="17">
        <v>3.21448</v>
      </c>
      <c r="H37" s="22">
        <v>4.04003</v>
      </c>
      <c r="I37" s="6">
        <v>0</v>
      </c>
      <c r="J37" s="6">
        <v>0</v>
      </c>
      <c r="K37" s="6">
        <v>0</v>
      </c>
      <c r="L37" s="7">
        <v>0.09892000000000001</v>
      </c>
      <c r="M37" s="7">
        <v>0.14358</v>
      </c>
      <c r="N37" s="7">
        <v>0.28996</v>
      </c>
    </row>
    <row r="38" spans="1:14" ht="15.75">
      <c r="A38" s="4" t="s">
        <v>35</v>
      </c>
      <c r="B38" s="4" t="s">
        <v>156</v>
      </c>
      <c r="C38" s="6">
        <v>24.2</v>
      </c>
      <c r="D38" s="6">
        <f>26.1</f>
        <v>26.1</v>
      </c>
      <c r="E38" s="6">
        <f>27.1</f>
        <v>27.1</v>
      </c>
      <c r="F38" s="6">
        <v>38.51592</v>
      </c>
      <c r="G38" s="17">
        <v>79.67216</v>
      </c>
      <c r="H38" s="22">
        <v>93.47733</v>
      </c>
      <c r="I38" s="6">
        <v>6.9</v>
      </c>
      <c r="J38" s="6">
        <v>2.6</v>
      </c>
      <c r="K38" s="6">
        <v>3.3</v>
      </c>
      <c r="L38" s="7">
        <v>5.60829</v>
      </c>
      <c r="M38" s="7">
        <v>25.392319999999998</v>
      </c>
      <c r="N38" s="7">
        <v>47.46105</v>
      </c>
    </row>
    <row r="39" spans="1:14" ht="15.75">
      <c r="A39" s="4" t="s">
        <v>36</v>
      </c>
      <c r="B39" s="9" t="s">
        <v>157</v>
      </c>
      <c r="C39" s="6">
        <v>1.5</v>
      </c>
      <c r="D39" s="6">
        <f>2.7</f>
        <v>2.7</v>
      </c>
      <c r="E39" s="6">
        <f>3.3</f>
        <v>3.3</v>
      </c>
      <c r="F39" s="6">
        <v>2.6425799999999997</v>
      </c>
      <c r="G39" s="17">
        <v>3.62295</v>
      </c>
      <c r="H39" s="22">
        <v>5.46476</v>
      </c>
      <c r="I39" s="6">
        <v>0</v>
      </c>
      <c r="J39" s="6">
        <v>0</v>
      </c>
      <c r="K39" s="6">
        <v>0</v>
      </c>
      <c r="L39" s="7">
        <v>0.49513</v>
      </c>
      <c r="M39" s="7">
        <v>0.073</v>
      </c>
      <c r="N39" s="7">
        <v>0.16837</v>
      </c>
    </row>
    <row r="40" spans="1:14" ht="15.75">
      <c r="A40" s="4" t="s">
        <v>37</v>
      </c>
      <c r="B40" s="9" t="s">
        <v>158</v>
      </c>
      <c r="C40" s="6">
        <v>1.5</v>
      </c>
      <c r="D40" s="6">
        <f>2.4</f>
        <v>2.4</v>
      </c>
      <c r="E40" s="6">
        <f>3.8</f>
        <v>3.8</v>
      </c>
      <c r="F40" s="6">
        <v>6.2026</v>
      </c>
      <c r="G40" s="17">
        <v>3.49507</v>
      </c>
      <c r="H40" s="22">
        <v>5.96325</v>
      </c>
      <c r="I40" s="6">
        <v>0.2</v>
      </c>
      <c r="J40" s="6">
        <v>0.2</v>
      </c>
      <c r="K40" s="6">
        <v>0.6</v>
      </c>
      <c r="L40" s="7">
        <v>0.8276699999999999</v>
      </c>
      <c r="M40" s="7">
        <v>2.4782100000000002</v>
      </c>
      <c r="N40" s="7">
        <v>0.97172</v>
      </c>
    </row>
    <row r="41" spans="1:14" ht="15.75">
      <c r="A41" s="4" t="s">
        <v>38</v>
      </c>
      <c r="B41" s="9" t="s">
        <v>159</v>
      </c>
      <c r="C41" s="6" t="s">
        <v>3</v>
      </c>
      <c r="D41" s="6">
        <f>0.8</f>
        <v>0.8</v>
      </c>
      <c r="E41" s="6">
        <f>0.8</f>
        <v>0.8</v>
      </c>
      <c r="F41" s="6">
        <v>0.5386505930035953</v>
      </c>
      <c r="G41" s="17">
        <v>0.5866984369950148</v>
      </c>
      <c r="H41" s="22">
        <v>0.6366982179786084</v>
      </c>
      <c r="I41" s="6" t="s">
        <v>3</v>
      </c>
      <c r="J41" s="6" t="s">
        <v>3</v>
      </c>
      <c r="K41" s="6">
        <v>0</v>
      </c>
      <c r="L41" s="7">
        <v>0.007530348156282271</v>
      </c>
      <c r="M41" s="7">
        <v>0.004474142709172941</v>
      </c>
      <c r="N41" s="7">
        <v>0.0032640230446357305</v>
      </c>
    </row>
    <row r="42" spans="1:14" ht="15.75">
      <c r="A42" s="4" t="s">
        <v>39</v>
      </c>
      <c r="B42" s="4" t="s">
        <v>160</v>
      </c>
      <c r="C42" s="6">
        <v>190.5</v>
      </c>
      <c r="D42" s="6">
        <f>138.8</f>
        <v>138.8</v>
      </c>
      <c r="E42" s="6">
        <f>170.3</f>
        <v>170.3</v>
      </c>
      <c r="F42" s="6">
        <v>183.76537720907976</v>
      </c>
      <c r="G42" s="17">
        <v>209.50445912469033</v>
      </c>
      <c r="H42" s="22">
        <v>265.4765068327179</v>
      </c>
      <c r="I42" s="6">
        <v>29.8</v>
      </c>
      <c r="J42" s="6">
        <v>176.5</v>
      </c>
      <c r="K42" s="6">
        <v>163.5</v>
      </c>
      <c r="L42" s="7">
        <v>220.04905411182833</v>
      </c>
      <c r="M42" s="7">
        <v>273.48089153881466</v>
      </c>
      <c r="N42" s="7">
        <v>356.80513223277666</v>
      </c>
    </row>
    <row r="43" spans="1:14" ht="15.75">
      <c r="A43" s="4" t="s">
        <v>40</v>
      </c>
      <c r="B43" s="4" t="s">
        <v>161</v>
      </c>
      <c r="C43" s="6">
        <v>1843.5</v>
      </c>
      <c r="D43" s="6">
        <f>967</f>
        <v>967</v>
      </c>
      <c r="E43" s="6" t="s">
        <v>41</v>
      </c>
      <c r="F43" s="6">
        <v>1857.235244176186</v>
      </c>
      <c r="G43" s="17">
        <v>1758.7206558924147</v>
      </c>
      <c r="H43" s="22">
        <v>2428.5719957913757</v>
      </c>
      <c r="I43" s="6">
        <v>3172.6</v>
      </c>
      <c r="J43" s="6">
        <v>934.8</v>
      </c>
      <c r="K43" s="6">
        <v>995.4</v>
      </c>
      <c r="L43" s="7">
        <v>1311.673989749578</v>
      </c>
      <c r="M43" s="7">
        <v>1526.0589122458998</v>
      </c>
      <c r="N43" s="7">
        <v>2504.7038109971404</v>
      </c>
    </row>
    <row r="44" spans="1:14" ht="15.75">
      <c r="A44" s="4" t="s">
        <v>42</v>
      </c>
      <c r="B44" s="4" t="s">
        <v>162</v>
      </c>
      <c r="C44" s="6">
        <v>1071.8</v>
      </c>
      <c r="D44" s="6">
        <f>686</f>
        <v>686</v>
      </c>
      <c r="E44" s="6" t="s">
        <v>43</v>
      </c>
      <c r="F44" s="6">
        <v>1194.5171058282858</v>
      </c>
      <c r="G44" s="17">
        <v>1221.250098841772</v>
      </c>
      <c r="H44" s="22">
        <v>1637.825722040934</v>
      </c>
      <c r="I44" s="6">
        <v>1434.5</v>
      </c>
      <c r="J44" s="6">
        <v>1233.1</v>
      </c>
      <c r="K44" s="6" t="s">
        <v>44</v>
      </c>
      <c r="L44" s="7">
        <v>1406.0554309354798</v>
      </c>
      <c r="M44" s="7">
        <v>1763.154940226574</v>
      </c>
      <c r="N44" s="7">
        <v>2486.667548535043</v>
      </c>
    </row>
    <row r="45" spans="1:14" ht="15.75">
      <c r="A45" s="4" t="s">
        <v>45</v>
      </c>
      <c r="B45" s="9" t="s">
        <v>163</v>
      </c>
      <c r="C45" s="6">
        <v>0.5</v>
      </c>
      <c r="D45" s="6">
        <f>0.7</f>
        <v>0.7</v>
      </c>
      <c r="E45" s="6">
        <f>1.4</f>
        <v>1.4</v>
      </c>
      <c r="F45" s="6">
        <v>2.6435999999999997</v>
      </c>
      <c r="G45" s="17">
        <v>1.66058</v>
      </c>
      <c r="H45" s="22">
        <v>3.23288</v>
      </c>
      <c r="I45" s="6">
        <v>0</v>
      </c>
      <c r="J45" s="6">
        <v>0</v>
      </c>
      <c r="K45" s="6">
        <v>0</v>
      </c>
      <c r="L45" s="7">
        <v>0.06558</v>
      </c>
      <c r="M45" s="7">
        <v>0.06787</v>
      </c>
      <c r="N45" s="7">
        <v>0.052469999999999996</v>
      </c>
    </row>
    <row r="46" spans="1:14" ht="15.75">
      <c r="A46" s="4" t="s">
        <v>46</v>
      </c>
      <c r="B46" s="4" t="s">
        <v>164</v>
      </c>
      <c r="C46" s="6">
        <v>84.2</v>
      </c>
      <c r="D46" s="6">
        <f>68.7</f>
        <v>68.7</v>
      </c>
      <c r="E46" s="6">
        <f>106.8</f>
        <v>106.8</v>
      </c>
      <c r="F46" s="6">
        <v>125.2416338181324</v>
      </c>
      <c r="G46" s="17">
        <v>145.01255161023946</v>
      </c>
      <c r="H46" s="22">
        <v>208.28354834361068</v>
      </c>
      <c r="I46" s="6">
        <v>37.3</v>
      </c>
      <c r="J46" s="6">
        <v>24.9</v>
      </c>
      <c r="K46" s="6">
        <v>38.6</v>
      </c>
      <c r="L46" s="7">
        <v>43.48566116858385</v>
      </c>
      <c r="M46" s="7">
        <v>65.26447165636904</v>
      </c>
      <c r="N46" s="7">
        <v>107.47759081832668</v>
      </c>
    </row>
    <row r="47" spans="1:14" ht="15.75">
      <c r="A47" s="4" t="s">
        <v>47</v>
      </c>
      <c r="B47" s="9" t="s">
        <v>165</v>
      </c>
      <c r="C47" s="6">
        <v>0.2</v>
      </c>
      <c r="D47" s="6" t="s">
        <v>3</v>
      </c>
      <c r="E47" s="6" t="s">
        <v>3</v>
      </c>
      <c r="F47" s="6" t="s">
        <v>3</v>
      </c>
      <c r="G47" s="6" t="s">
        <v>3</v>
      </c>
      <c r="H47" s="24" t="s">
        <v>3</v>
      </c>
      <c r="I47" s="6">
        <v>0</v>
      </c>
      <c r="J47" s="6">
        <v>0</v>
      </c>
      <c r="K47" s="6" t="s">
        <v>3</v>
      </c>
      <c r="L47" s="6" t="s">
        <v>3</v>
      </c>
      <c r="M47" s="6" t="s">
        <v>3</v>
      </c>
      <c r="N47" s="6" t="s">
        <v>3</v>
      </c>
    </row>
    <row r="48" spans="1:14" ht="15.75">
      <c r="A48" s="4" t="s">
        <v>48</v>
      </c>
      <c r="B48" s="9" t="s">
        <v>166</v>
      </c>
      <c r="C48" s="6" t="s">
        <v>3</v>
      </c>
      <c r="D48" s="6" t="s">
        <v>3</v>
      </c>
      <c r="E48" s="6" t="s">
        <v>3</v>
      </c>
      <c r="F48" s="6" t="s">
        <v>3</v>
      </c>
      <c r="G48" s="6" t="s">
        <v>3</v>
      </c>
      <c r="H48" s="24" t="s">
        <v>3</v>
      </c>
      <c r="I48" s="6" t="s">
        <v>3</v>
      </c>
      <c r="J48" s="6" t="s">
        <v>3</v>
      </c>
      <c r="K48" s="6" t="s">
        <v>3</v>
      </c>
      <c r="L48" s="6" t="s">
        <v>3</v>
      </c>
      <c r="M48" s="6" t="s">
        <v>3</v>
      </c>
      <c r="N48" s="6" t="s">
        <v>3</v>
      </c>
    </row>
    <row r="49" spans="1:14" ht="15.75">
      <c r="A49" s="4" t="s">
        <v>49</v>
      </c>
      <c r="B49" s="4" t="s">
        <v>167</v>
      </c>
      <c r="C49" s="6">
        <v>506.1</v>
      </c>
      <c r="D49" s="6">
        <f>463.1</f>
        <v>463.1</v>
      </c>
      <c r="E49" s="6">
        <f>714.6</f>
        <v>714.6</v>
      </c>
      <c r="F49" s="6">
        <v>861.4629179849986</v>
      </c>
      <c r="G49" s="17">
        <v>1054.9856840693358</v>
      </c>
      <c r="H49" s="22">
        <v>1714.9532614146297</v>
      </c>
      <c r="I49" s="6">
        <v>196.4</v>
      </c>
      <c r="J49" s="6">
        <v>210.7</v>
      </c>
      <c r="K49" s="6">
        <v>331.6</v>
      </c>
      <c r="L49" s="7">
        <v>438.9663728703</v>
      </c>
      <c r="M49" s="7">
        <v>460.12948463955126</v>
      </c>
      <c r="N49" s="7">
        <v>830.6659988507316</v>
      </c>
    </row>
    <row r="50" spans="1:14" ht="15.75">
      <c r="A50" s="4" t="s">
        <v>50</v>
      </c>
      <c r="B50" s="9" t="s">
        <v>168</v>
      </c>
      <c r="C50" s="6">
        <v>10.4</v>
      </c>
      <c r="D50" s="6">
        <f>13.1</f>
        <v>13.1</v>
      </c>
      <c r="E50" s="6">
        <f>16.7</f>
        <v>16.7</v>
      </c>
      <c r="F50" s="6">
        <v>28.711380000000002</v>
      </c>
      <c r="G50" s="17">
        <v>32.57566</v>
      </c>
      <c r="H50" s="22">
        <v>41.93453</v>
      </c>
      <c r="I50" s="6">
        <v>5</v>
      </c>
      <c r="J50" s="6">
        <v>5.9</v>
      </c>
      <c r="K50" s="6">
        <v>8.3</v>
      </c>
      <c r="L50" s="7">
        <v>13.01077</v>
      </c>
      <c r="M50" s="7">
        <v>23.91086</v>
      </c>
      <c r="N50" s="7">
        <v>31.18329</v>
      </c>
    </row>
    <row r="51" spans="1:14" ht="15.75">
      <c r="A51" s="4" t="s">
        <v>51</v>
      </c>
      <c r="B51" s="9" t="s">
        <v>169</v>
      </c>
      <c r="C51" s="6">
        <v>3.6</v>
      </c>
      <c r="D51" s="6">
        <f>6.3</f>
        <v>6.3</v>
      </c>
      <c r="E51" s="6">
        <f>9.3</f>
        <v>9.3</v>
      </c>
      <c r="F51" s="6">
        <v>17.628889792598617</v>
      </c>
      <c r="G51" s="17">
        <v>27.79897332703123</v>
      </c>
      <c r="H51" s="22">
        <v>36.09878861302574</v>
      </c>
      <c r="I51" s="6">
        <v>1.3</v>
      </c>
      <c r="J51" s="6">
        <v>3.4</v>
      </c>
      <c r="K51" s="6">
        <v>7.3</v>
      </c>
      <c r="L51" s="7">
        <v>10.459629433185135</v>
      </c>
      <c r="M51" s="7">
        <v>17.242967815766605</v>
      </c>
      <c r="N51" s="7">
        <v>31.34998781634501</v>
      </c>
    </row>
    <row r="52" spans="1:14" ht="15.75">
      <c r="A52" s="4" t="s">
        <v>52</v>
      </c>
      <c r="B52" s="4" t="s">
        <v>170</v>
      </c>
      <c r="C52" s="6">
        <v>110.4</v>
      </c>
      <c r="D52" s="6">
        <f>131</f>
        <v>131</v>
      </c>
      <c r="E52" s="6">
        <f>279.1</f>
        <v>279.1</v>
      </c>
      <c r="F52" s="6">
        <v>387.85116</v>
      </c>
      <c r="G52" s="17">
        <v>553.0740058</v>
      </c>
      <c r="H52" s="22">
        <v>818.87867</v>
      </c>
      <c r="I52" s="6">
        <v>249.3</v>
      </c>
      <c r="J52" s="6">
        <v>197.1</v>
      </c>
      <c r="K52" s="6">
        <v>284.8</v>
      </c>
      <c r="L52" s="7">
        <v>379.0848</v>
      </c>
      <c r="M52" s="7">
        <v>433.90008889999996</v>
      </c>
      <c r="N52" s="7">
        <v>638.48402</v>
      </c>
    </row>
    <row r="53" spans="1:14" ht="15.75">
      <c r="A53" s="4" t="s">
        <v>53</v>
      </c>
      <c r="B53" s="4" t="s">
        <v>171</v>
      </c>
      <c r="C53" s="6">
        <v>23</v>
      </c>
      <c r="D53" s="6">
        <f>30</f>
        <v>30</v>
      </c>
      <c r="E53" s="6">
        <f>54.7</f>
        <v>54.7</v>
      </c>
      <c r="F53" s="6">
        <v>73.25064</v>
      </c>
      <c r="G53" s="17">
        <v>81.42811999999999</v>
      </c>
      <c r="H53" s="22">
        <v>138.88636</v>
      </c>
      <c r="I53" s="6">
        <v>23.3</v>
      </c>
      <c r="J53" s="6">
        <v>13</v>
      </c>
      <c r="K53" s="6">
        <v>14.8</v>
      </c>
      <c r="L53" s="7">
        <v>27.56146</v>
      </c>
      <c r="M53" s="7">
        <v>41.90008</v>
      </c>
      <c r="N53" s="7">
        <v>48.83056</v>
      </c>
    </row>
    <row r="54" spans="1:14" ht="15.75">
      <c r="A54" s="4" t="s">
        <v>54</v>
      </c>
      <c r="B54" s="4" t="s">
        <v>172</v>
      </c>
      <c r="C54" s="6">
        <v>9.7</v>
      </c>
      <c r="D54" s="6">
        <f>14.3</f>
        <v>14.3</v>
      </c>
      <c r="E54" s="6">
        <f>34.4</f>
        <v>34.4</v>
      </c>
      <c r="F54" s="6">
        <v>46.99505998862991</v>
      </c>
      <c r="G54" s="17">
        <v>38.72381175499835</v>
      </c>
      <c r="H54" s="22">
        <v>37.94332764699057</v>
      </c>
      <c r="I54" s="6">
        <v>1.1</v>
      </c>
      <c r="J54" s="6">
        <v>1.9</v>
      </c>
      <c r="K54" s="6">
        <v>5.3</v>
      </c>
      <c r="L54" s="7">
        <v>13.304471364419982</v>
      </c>
      <c r="M54" s="7">
        <v>8.187470070242602</v>
      </c>
      <c r="N54" s="7">
        <v>4.8858848607243495</v>
      </c>
    </row>
    <row r="55" spans="1:14" ht="15.75">
      <c r="A55" s="4" t="s">
        <v>55</v>
      </c>
      <c r="B55" s="4" t="s">
        <v>173</v>
      </c>
      <c r="C55" s="6">
        <v>78.7</v>
      </c>
      <c r="D55" s="6">
        <f>59.9</f>
        <v>59.9</v>
      </c>
      <c r="E55" s="6">
        <f>85.1</f>
        <v>85.1</v>
      </c>
      <c r="F55" s="6">
        <v>114.08542884327849</v>
      </c>
      <c r="G55" s="17">
        <v>114.13425286639023</v>
      </c>
      <c r="H55" s="22">
        <v>163.3577475933008</v>
      </c>
      <c r="I55" s="6">
        <v>23.6</v>
      </c>
      <c r="J55" s="6">
        <v>32.9</v>
      </c>
      <c r="K55" s="6">
        <v>44</v>
      </c>
      <c r="L55" s="7">
        <v>44.28802960145163</v>
      </c>
      <c r="M55" s="7">
        <v>64.69384566727834</v>
      </c>
      <c r="N55" s="7">
        <v>79.92044894473213</v>
      </c>
    </row>
    <row r="56" spans="1:14" ht="15.75">
      <c r="A56" s="4" t="s">
        <v>56</v>
      </c>
      <c r="B56" s="4" t="s">
        <v>174</v>
      </c>
      <c r="C56" s="6">
        <v>57.6</v>
      </c>
      <c r="D56" s="6">
        <f>45.4</f>
        <v>45.4</v>
      </c>
      <c r="E56" s="6">
        <f>75.7</f>
        <v>75.7</v>
      </c>
      <c r="F56" s="6">
        <v>95.50475999999999</v>
      </c>
      <c r="G56" s="17">
        <v>120.1135</v>
      </c>
      <c r="H56" s="22">
        <v>173.30579139999998</v>
      </c>
      <c r="I56" s="6">
        <v>15</v>
      </c>
      <c r="J56" s="6">
        <v>55.3</v>
      </c>
      <c r="K56" s="6">
        <v>41.6</v>
      </c>
      <c r="L56" s="7">
        <v>46.2326</v>
      </c>
      <c r="M56" s="7">
        <v>59.88588</v>
      </c>
      <c r="N56" s="7">
        <v>88.77057</v>
      </c>
    </row>
    <row r="57" spans="1:14" ht="15.75">
      <c r="A57" s="4" t="s">
        <v>57</v>
      </c>
      <c r="B57" s="4" t="s">
        <v>175</v>
      </c>
      <c r="C57" s="6">
        <v>672.1</v>
      </c>
      <c r="D57" s="6">
        <f>477.1</f>
        <v>477.1</v>
      </c>
      <c r="E57" s="6">
        <f>614.8</f>
        <v>614.8</v>
      </c>
      <c r="F57" s="6">
        <v>789.5626201731316</v>
      </c>
      <c r="G57" s="17">
        <v>798.167021786849</v>
      </c>
      <c r="H57" s="22">
        <v>1026.6395704713623</v>
      </c>
      <c r="I57" s="6">
        <v>546.4</v>
      </c>
      <c r="J57" s="6">
        <v>539.9</v>
      </c>
      <c r="K57" s="6">
        <v>663.2</v>
      </c>
      <c r="L57" s="7">
        <v>804.3470143510833</v>
      </c>
      <c r="M57" s="7">
        <v>1115.2243670620762</v>
      </c>
      <c r="N57" s="7">
        <v>1366.1304193976669</v>
      </c>
    </row>
    <row r="58" spans="1:14" ht="15.75">
      <c r="A58" s="4" t="s">
        <v>58</v>
      </c>
      <c r="B58" s="9" t="s">
        <v>176</v>
      </c>
      <c r="C58" s="6">
        <v>4.6</v>
      </c>
      <c r="D58" s="6">
        <f>5.8</f>
        <v>5.8</v>
      </c>
      <c r="E58" s="6">
        <f>8.5</f>
        <v>8.5</v>
      </c>
      <c r="F58" s="6">
        <v>14.41471</v>
      </c>
      <c r="G58" s="17">
        <v>13.02804</v>
      </c>
      <c r="H58" s="22">
        <v>12.276950000000001</v>
      </c>
      <c r="I58" s="6">
        <v>0.1</v>
      </c>
      <c r="J58" s="6">
        <v>0.1</v>
      </c>
      <c r="K58" s="6">
        <v>0.2</v>
      </c>
      <c r="L58" s="7">
        <v>0.47767000000000004</v>
      </c>
      <c r="M58" s="7">
        <v>0.43027</v>
      </c>
      <c r="N58" s="7">
        <v>0.29654</v>
      </c>
    </row>
    <row r="59" spans="1:14" ht="15.75">
      <c r="A59" s="4" t="s">
        <v>59</v>
      </c>
      <c r="B59" s="4" t="s">
        <v>177</v>
      </c>
      <c r="C59" s="6">
        <v>3910</v>
      </c>
      <c r="D59" s="6" t="s">
        <v>60</v>
      </c>
      <c r="E59" s="6" t="s">
        <v>61</v>
      </c>
      <c r="F59" s="6">
        <v>3678.261910803162</v>
      </c>
      <c r="G59" s="17">
        <v>4736.512818774887</v>
      </c>
      <c r="H59" s="22">
        <v>4726.268901850531</v>
      </c>
      <c r="I59" s="6">
        <v>1696.7</v>
      </c>
      <c r="J59" s="6" t="s">
        <v>62</v>
      </c>
      <c r="K59" s="6">
        <v>2273</v>
      </c>
      <c r="L59" s="7">
        <v>3430.4197711170855</v>
      </c>
      <c r="M59" s="7">
        <v>4997.414469163889</v>
      </c>
      <c r="N59" s="7">
        <v>6252.470216480361</v>
      </c>
    </row>
    <row r="60" spans="1:14" ht="15.75">
      <c r="A60" s="4" t="s">
        <v>63</v>
      </c>
      <c r="B60" s="9" t="s">
        <v>178</v>
      </c>
      <c r="C60" s="6">
        <v>6.3</v>
      </c>
      <c r="D60" s="6">
        <f>7.1</f>
        <v>7.1</v>
      </c>
      <c r="E60" s="6">
        <f>11</f>
        <v>11</v>
      </c>
      <c r="F60" s="6">
        <v>18.3834</v>
      </c>
      <c r="G60" s="17">
        <v>37.63881</v>
      </c>
      <c r="H60" s="22">
        <v>29.72948</v>
      </c>
      <c r="I60" s="6">
        <v>0.9</v>
      </c>
      <c r="J60" s="6">
        <v>1.3</v>
      </c>
      <c r="K60" s="6">
        <v>2.6</v>
      </c>
      <c r="L60" s="7">
        <v>5.327859999999999</v>
      </c>
      <c r="M60" s="7">
        <v>23.8066</v>
      </c>
      <c r="N60" s="7">
        <v>20.051119999999997</v>
      </c>
    </row>
    <row r="61" spans="1:14" ht="15.75">
      <c r="A61" s="4" t="s">
        <v>64</v>
      </c>
      <c r="B61" s="9" t="s">
        <v>179</v>
      </c>
      <c r="C61" s="6">
        <v>1.2</v>
      </c>
      <c r="D61" s="6">
        <f>1.3</f>
        <v>1.3</v>
      </c>
      <c r="E61" s="6">
        <f>2.4</f>
        <v>2.4</v>
      </c>
      <c r="F61" s="6">
        <v>3.9406999999999996</v>
      </c>
      <c r="G61" s="17">
        <v>10.5211854</v>
      </c>
      <c r="H61" s="22">
        <v>43.68834915414645</v>
      </c>
      <c r="I61" s="6">
        <v>0.3</v>
      </c>
      <c r="J61" s="6">
        <v>0.6</v>
      </c>
      <c r="K61" s="6">
        <v>0.4</v>
      </c>
      <c r="L61" s="7">
        <v>0.9665235944036843</v>
      </c>
      <c r="M61" s="7">
        <v>1.0768935</v>
      </c>
      <c r="N61" s="7">
        <v>3.990875555868623</v>
      </c>
    </row>
    <row r="62" spans="1:14" ht="15.75">
      <c r="A62" s="4" t="s">
        <v>65</v>
      </c>
      <c r="B62" s="9" t="s">
        <v>180</v>
      </c>
      <c r="C62" s="6">
        <v>1.1</v>
      </c>
      <c r="D62" s="6">
        <f>1.4</f>
        <v>1.4</v>
      </c>
      <c r="E62" s="6">
        <f>4.2</f>
        <v>4.2</v>
      </c>
      <c r="F62" s="6">
        <v>3.89097</v>
      </c>
      <c r="G62" s="17">
        <v>6.38399</v>
      </c>
      <c r="H62" s="22">
        <v>11.37804</v>
      </c>
      <c r="I62" s="6">
        <v>0</v>
      </c>
      <c r="J62" s="6">
        <v>0</v>
      </c>
      <c r="K62" s="6">
        <v>0.2</v>
      </c>
      <c r="L62" s="7">
        <v>0.32255</v>
      </c>
      <c r="M62" s="7">
        <v>0.5048</v>
      </c>
      <c r="N62" s="7">
        <v>1.29951</v>
      </c>
    </row>
    <row r="63" spans="1:14" ht="15.75">
      <c r="A63" s="4" t="s">
        <v>66</v>
      </c>
      <c r="B63" s="4" t="s">
        <v>181</v>
      </c>
      <c r="C63" s="6">
        <v>232.1</v>
      </c>
      <c r="D63" s="6">
        <f>249.6</f>
        <v>249.6</v>
      </c>
      <c r="E63" s="6">
        <f>329.6</f>
        <v>329.6</v>
      </c>
      <c r="F63" s="6">
        <v>428.6488</v>
      </c>
      <c r="G63" s="17">
        <v>718.18008</v>
      </c>
      <c r="H63" s="22">
        <v>835.1881099999999</v>
      </c>
      <c r="I63" s="6">
        <v>694.2</v>
      </c>
      <c r="J63" s="6">
        <v>826.6</v>
      </c>
      <c r="K63" s="6">
        <v>682.7</v>
      </c>
      <c r="L63" s="7">
        <v>638.8906999999999</v>
      </c>
      <c r="M63" s="7">
        <v>1202.9761</v>
      </c>
      <c r="N63" s="7">
        <v>1340.12247</v>
      </c>
    </row>
    <row r="64" spans="1:14" ht="15.75">
      <c r="A64" s="4" t="s">
        <v>67</v>
      </c>
      <c r="B64" s="9" t="s">
        <v>182</v>
      </c>
      <c r="C64" s="6" t="s">
        <v>3</v>
      </c>
      <c r="D64" s="6" t="s">
        <v>3</v>
      </c>
      <c r="E64" s="6" t="s">
        <v>3</v>
      </c>
      <c r="F64" s="6" t="s">
        <v>3</v>
      </c>
      <c r="G64" s="17">
        <v>130.07983667657535</v>
      </c>
      <c r="H64" s="22">
        <v>128.94006</v>
      </c>
      <c r="I64" s="6" t="s">
        <v>3</v>
      </c>
      <c r="J64" s="6" t="s">
        <v>3</v>
      </c>
      <c r="K64" s="6" t="s">
        <v>3</v>
      </c>
      <c r="L64" s="6" t="s">
        <v>3</v>
      </c>
      <c r="M64" s="6">
        <v>94.01003716705402</v>
      </c>
      <c r="N64" s="6">
        <v>55.88581</v>
      </c>
    </row>
    <row r="65" spans="1:14" ht="15.75">
      <c r="A65" s="4" t="s">
        <v>68</v>
      </c>
      <c r="B65" s="9" t="s">
        <v>183</v>
      </c>
      <c r="C65" s="6">
        <v>0.7</v>
      </c>
      <c r="D65" s="6">
        <f>0.7</f>
        <v>0.7</v>
      </c>
      <c r="E65" s="6">
        <f>1.1</f>
        <v>1.1</v>
      </c>
      <c r="F65" s="6">
        <v>1.65499</v>
      </c>
      <c r="G65" s="17">
        <v>2.52723</v>
      </c>
      <c r="H65" s="22">
        <v>2.70492</v>
      </c>
      <c r="I65" s="6">
        <v>0.2</v>
      </c>
      <c r="J65" s="6">
        <v>0.1</v>
      </c>
      <c r="K65" s="6">
        <v>0.1</v>
      </c>
      <c r="L65" s="7">
        <v>0.10992</v>
      </c>
      <c r="M65" s="7">
        <v>0.09603</v>
      </c>
      <c r="N65" s="7">
        <v>0.11145999999999999</v>
      </c>
    </row>
    <row r="66" spans="1:14" ht="15.75">
      <c r="A66" s="4" t="s">
        <v>69</v>
      </c>
      <c r="B66" s="9" t="s">
        <v>184</v>
      </c>
      <c r="C66" s="6">
        <v>1.2</v>
      </c>
      <c r="D66" s="6">
        <f>1.4</f>
        <v>1.4</v>
      </c>
      <c r="E66" s="6">
        <f>1.5</f>
        <v>1.5</v>
      </c>
      <c r="F66" s="6">
        <v>2.3215</v>
      </c>
      <c r="G66" s="17">
        <v>4.92863</v>
      </c>
      <c r="H66" s="22">
        <v>8.27893</v>
      </c>
      <c r="I66" s="6">
        <v>0.1</v>
      </c>
      <c r="J66" s="6">
        <v>0.1</v>
      </c>
      <c r="K66" s="6">
        <v>0.1</v>
      </c>
      <c r="L66" s="7">
        <v>0.19697</v>
      </c>
      <c r="M66" s="7">
        <v>0.9239299999999999</v>
      </c>
      <c r="N66" s="7">
        <v>2.03548</v>
      </c>
    </row>
    <row r="67" spans="1:14" ht="15.75">
      <c r="A67" s="4" t="s">
        <v>70</v>
      </c>
      <c r="B67" s="9" t="s">
        <v>185</v>
      </c>
      <c r="C67" s="6">
        <v>1.2</v>
      </c>
      <c r="D67" s="6">
        <f>1.5</f>
        <v>1.5</v>
      </c>
      <c r="E67" s="6">
        <f>3.5</f>
        <v>3.5</v>
      </c>
      <c r="F67" s="6">
        <v>6.46281</v>
      </c>
      <c r="G67" s="17">
        <v>8.18279</v>
      </c>
      <c r="H67" s="22">
        <v>10.19057</v>
      </c>
      <c r="I67" s="6">
        <v>0.2</v>
      </c>
      <c r="J67" s="6">
        <v>0.2</v>
      </c>
      <c r="K67" s="6">
        <v>0.2</v>
      </c>
      <c r="L67" s="7">
        <v>0.46382999999999996</v>
      </c>
      <c r="M67" s="7">
        <v>0.74054</v>
      </c>
      <c r="N67" s="7">
        <v>2.09368</v>
      </c>
    </row>
    <row r="68" spans="1:14" ht="15.75">
      <c r="A68" s="4" t="s">
        <v>71</v>
      </c>
      <c r="B68" s="4" t="s">
        <v>186</v>
      </c>
      <c r="C68" s="6">
        <v>22.7</v>
      </c>
      <c r="D68" s="6">
        <f>24.6</f>
        <v>24.6</v>
      </c>
      <c r="E68" s="6">
        <f>37.3</f>
        <v>37.3</v>
      </c>
      <c r="F68" s="6">
        <v>50.14355036020117</v>
      </c>
      <c r="G68" s="17">
        <v>51.25445085053343</v>
      </c>
      <c r="H68" s="22">
        <v>79.52400105499143</v>
      </c>
      <c r="I68" s="6">
        <v>0.7</v>
      </c>
      <c r="J68" s="6">
        <v>0.3</v>
      </c>
      <c r="K68" s="6">
        <v>0.3</v>
      </c>
      <c r="L68" s="7">
        <v>0.3653351866445922</v>
      </c>
      <c r="M68" s="7">
        <v>0.2404701245884171</v>
      </c>
      <c r="N68" s="7">
        <v>0.2305951145074103</v>
      </c>
    </row>
    <row r="69" spans="1:14" ht="15.75">
      <c r="A69" s="4" t="s">
        <v>237</v>
      </c>
      <c r="B69" s="9" t="s">
        <v>232</v>
      </c>
      <c r="C69" s="6">
        <v>0</v>
      </c>
      <c r="D69" s="6">
        <f>0.2</f>
        <v>0.2</v>
      </c>
      <c r="E69" s="6">
        <f>0.4</f>
        <v>0.4</v>
      </c>
      <c r="F69" s="6">
        <v>0.4131380381713271</v>
      </c>
      <c r="G69" s="17">
        <v>0.6459785783836417</v>
      </c>
      <c r="H69" s="22">
        <v>1.0984068891280947</v>
      </c>
      <c r="I69" s="6">
        <v>0.1</v>
      </c>
      <c r="J69" s="6">
        <v>0</v>
      </c>
      <c r="K69" s="6">
        <v>0</v>
      </c>
      <c r="L69" s="7">
        <v>0.03306729275908155</v>
      </c>
      <c r="M69" s="7">
        <v>0.0971016042583771</v>
      </c>
      <c r="N69" s="7">
        <v>0.19528593732366226</v>
      </c>
    </row>
    <row r="70" spans="1:14" ht="15.75">
      <c r="A70" s="4" t="s">
        <v>72</v>
      </c>
      <c r="B70" s="4" t="s">
        <v>187</v>
      </c>
      <c r="C70" s="6">
        <v>119</v>
      </c>
      <c r="D70" s="6">
        <f>123.9</f>
        <v>123.9</v>
      </c>
      <c r="E70" s="6">
        <f>168.4</f>
        <v>168.4</v>
      </c>
      <c r="F70" s="6">
        <v>190.01053</v>
      </c>
      <c r="G70" s="17">
        <v>181.23571900000002</v>
      </c>
      <c r="H70" s="22">
        <v>235.35584</v>
      </c>
      <c r="I70" s="6">
        <v>23.6</v>
      </c>
      <c r="J70" s="6">
        <v>27.6</v>
      </c>
      <c r="K70" s="6">
        <v>50.1</v>
      </c>
      <c r="L70" s="7">
        <v>59.87775</v>
      </c>
      <c r="M70" s="7">
        <v>49.9758169</v>
      </c>
      <c r="N70" s="7">
        <v>66.90395</v>
      </c>
    </row>
    <row r="71" spans="1:14" ht="15.75">
      <c r="A71" s="4" t="s">
        <v>73</v>
      </c>
      <c r="B71" s="9" t="s">
        <v>188</v>
      </c>
      <c r="C71" s="6">
        <v>1.4</v>
      </c>
      <c r="D71" s="6">
        <f>1.4</f>
        <v>1.4</v>
      </c>
      <c r="E71" s="6">
        <f>1.8</f>
        <v>1.8</v>
      </c>
      <c r="F71" s="6">
        <v>2.8410328638497653</v>
      </c>
      <c r="G71" s="17">
        <v>4.097417582417583</v>
      </c>
      <c r="H71" s="22">
        <v>4.503507371007371</v>
      </c>
      <c r="I71" s="6">
        <v>0.1</v>
      </c>
      <c r="J71" s="6">
        <v>0.1</v>
      </c>
      <c r="K71" s="6">
        <v>0</v>
      </c>
      <c r="L71" s="7">
        <v>0.09394624531535983</v>
      </c>
      <c r="M71" s="7">
        <v>0.15062659701516753</v>
      </c>
      <c r="N71" s="7">
        <v>0.2547221900782726</v>
      </c>
    </row>
    <row r="72" spans="1:14" ht="15.75">
      <c r="A72" s="4" t="s">
        <v>74</v>
      </c>
      <c r="B72" s="9" t="s">
        <v>189</v>
      </c>
      <c r="C72" s="6">
        <v>1</v>
      </c>
      <c r="D72" s="6">
        <f>1.3</f>
        <v>1.3</v>
      </c>
      <c r="E72" s="6">
        <f>2</f>
        <v>2</v>
      </c>
      <c r="F72" s="6">
        <v>2.3787800000000003</v>
      </c>
      <c r="G72" s="17">
        <v>2.61735</v>
      </c>
      <c r="H72" s="22">
        <v>3.59832</v>
      </c>
      <c r="I72" s="6">
        <v>0.1</v>
      </c>
      <c r="J72" s="6">
        <v>0.1</v>
      </c>
      <c r="K72" s="6">
        <v>0.1</v>
      </c>
      <c r="L72" s="7">
        <v>0.09548000000000001</v>
      </c>
      <c r="M72" s="7">
        <v>0.15100999999999998</v>
      </c>
      <c r="N72" s="7">
        <v>0.13743</v>
      </c>
    </row>
    <row r="73" spans="1:14" ht="15.75">
      <c r="A73" s="4" t="s">
        <v>75</v>
      </c>
      <c r="B73" s="4" t="s">
        <v>190</v>
      </c>
      <c r="C73" s="6">
        <v>126.6</v>
      </c>
      <c r="D73" s="6">
        <f>103.1</f>
        <v>103.1</v>
      </c>
      <c r="E73" s="6">
        <f>122.5</f>
        <v>122.5</v>
      </c>
      <c r="F73" s="6">
        <v>171.94026000000002</v>
      </c>
      <c r="G73" s="17">
        <v>239.12795</v>
      </c>
      <c r="H73" s="22">
        <v>348.34513</v>
      </c>
      <c r="I73" s="6">
        <v>60.4</v>
      </c>
      <c r="J73" s="6">
        <v>27.7</v>
      </c>
      <c r="K73" s="6">
        <v>23.5</v>
      </c>
      <c r="L73" s="7">
        <v>42.83894</v>
      </c>
      <c r="M73" s="7">
        <v>52.73589</v>
      </c>
      <c r="N73" s="7">
        <v>80.09516</v>
      </c>
    </row>
    <row r="74" spans="1:14" ht="15.75">
      <c r="A74" s="4" t="s">
        <v>76</v>
      </c>
      <c r="B74" s="9" t="s">
        <v>191</v>
      </c>
      <c r="C74" s="6">
        <v>0.4</v>
      </c>
      <c r="D74" s="6">
        <f>0.4</f>
        <v>0.4</v>
      </c>
      <c r="E74" s="6">
        <f>0.5</f>
        <v>0.5</v>
      </c>
      <c r="F74" s="6">
        <v>0.5739</v>
      </c>
      <c r="G74" s="19" t="s">
        <v>3</v>
      </c>
      <c r="H74" s="25" t="s">
        <v>3</v>
      </c>
      <c r="I74" s="6">
        <v>0.2</v>
      </c>
      <c r="J74" s="6">
        <v>0</v>
      </c>
      <c r="K74" s="6">
        <v>0</v>
      </c>
      <c r="L74" s="7">
        <v>0.054770000000000006</v>
      </c>
      <c r="M74" s="7">
        <v>0.016897</v>
      </c>
      <c r="N74" s="7">
        <v>0.0261505</v>
      </c>
    </row>
    <row r="75" spans="1:14" ht="15.75">
      <c r="A75" s="4" t="s">
        <v>77</v>
      </c>
      <c r="B75" s="9" t="s">
        <v>192</v>
      </c>
      <c r="C75" s="6" t="s">
        <v>3</v>
      </c>
      <c r="D75" s="6">
        <f>0</f>
        <v>0</v>
      </c>
      <c r="E75" s="6">
        <f>0</f>
        <v>0</v>
      </c>
      <c r="F75" s="6">
        <v>0.0248</v>
      </c>
      <c r="G75" s="17">
        <v>0.0456191</v>
      </c>
      <c r="H75" s="22">
        <v>0.1126001</v>
      </c>
      <c r="I75" s="6" t="s">
        <v>3</v>
      </c>
      <c r="J75" s="6">
        <v>0</v>
      </c>
      <c r="K75" s="6">
        <v>0</v>
      </c>
      <c r="L75" s="7">
        <v>0.00078</v>
      </c>
      <c r="M75" s="7">
        <v>0.0021620000000000003</v>
      </c>
      <c r="N75" s="7">
        <v>0.010689</v>
      </c>
    </row>
    <row r="76" spans="1:14" ht="15.75">
      <c r="A76" s="4" t="s">
        <v>78</v>
      </c>
      <c r="B76" s="4" t="s">
        <v>193</v>
      </c>
      <c r="C76" s="6">
        <v>9.1</v>
      </c>
      <c r="D76" s="6">
        <f>8.6</f>
        <v>8.6</v>
      </c>
      <c r="E76" s="6">
        <f>13.2</f>
        <v>13.2</v>
      </c>
      <c r="F76" s="6">
        <v>25.064310000000003</v>
      </c>
      <c r="G76" s="17">
        <v>27.21996</v>
      </c>
      <c r="H76" s="22">
        <v>49.36003</v>
      </c>
      <c r="I76" s="6">
        <v>1.2</v>
      </c>
      <c r="J76" s="6">
        <v>0.6</v>
      </c>
      <c r="K76" s="6">
        <v>0.7</v>
      </c>
      <c r="L76" s="7">
        <v>1.67724</v>
      </c>
      <c r="M76" s="7">
        <v>4.14655</v>
      </c>
      <c r="N76" s="7">
        <v>13.50198</v>
      </c>
    </row>
    <row r="77" spans="1:14" ht="15.75">
      <c r="A77" s="4" t="s">
        <v>79</v>
      </c>
      <c r="B77" s="9" t="s">
        <v>194</v>
      </c>
      <c r="C77" s="6">
        <v>0.2</v>
      </c>
      <c r="D77" s="6">
        <f>0.2</f>
        <v>0.2</v>
      </c>
      <c r="E77" s="6">
        <f>0.3</f>
        <v>0.3</v>
      </c>
      <c r="F77" s="6">
        <v>0.44233</v>
      </c>
      <c r="G77" s="17">
        <v>0.41466000000000003</v>
      </c>
      <c r="H77" s="22">
        <v>0.5417799999999999</v>
      </c>
      <c r="I77" s="6">
        <v>0</v>
      </c>
      <c r="J77" s="6">
        <v>0</v>
      </c>
      <c r="K77" s="6">
        <v>0</v>
      </c>
      <c r="L77" s="7">
        <v>0.01765</v>
      </c>
      <c r="M77" s="7">
        <v>0.00643</v>
      </c>
      <c r="N77" s="7">
        <v>0.0181</v>
      </c>
    </row>
    <row r="78" spans="1:14" ht="15.75">
      <c r="A78" s="4" t="s">
        <v>80</v>
      </c>
      <c r="B78" s="9" t="s">
        <v>195</v>
      </c>
      <c r="C78" s="6" t="s">
        <v>3</v>
      </c>
      <c r="D78" s="6">
        <f>0.4</f>
        <v>0.4</v>
      </c>
      <c r="E78" s="6" t="s">
        <v>3</v>
      </c>
      <c r="F78" s="6">
        <v>0.5757438498957609</v>
      </c>
      <c r="G78" s="17">
        <v>1.3439408333333334</v>
      </c>
      <c r="H78" s="22">
        <v>1.805286235955056</v>
      </c>
      <c r="I78" s="6" t="s">
        <v>3</v>
      </c>
      <c r="J78" s="6">
        <v>0</v>
      </c>
      <c r="K78" s="6" t="s">
        <v>3</v>
      </c>
      <c r="L78" s="7">
        <v>0.029586340117281826</v>
      </c>
      <c r="M78" s="7">
        <v>0.04795317818687045</v>
      </c>
      <c r="N78" s="7">
        <v>0.06932232556970121</v>
      </c>
    </row>
    <row r="79" spans="1:14" ht="15.75">
      <c r="A79" s="4" t="s">
        <v>81</v>
      </c>
      <c r="B79" s="4" t="s">
        <v>196</v>
      </c>
      <c r="C79" s="6">
        <v>1843.5</v>
      </c>
      <c r="D79" s="6">
        <f>401.5</f>
        <v>401.5</v>
      </c>
      <c r="E79" s="6">
        <f>488.6</f>
        <v>488.6</v>
      </c>
      <c r="F79" s="6">
        <v>622.2835884901998</v>
      </c>
      <c r="G79" s="17">
        <v>592.9055444142975</v>
      </c>
      <c r="H79" s="22">
        <v>779.6454385384282</v>
      </c>
      <c r="I79" s="6">
        <v>3172.6</v>
      </c>
      <c r="J79" s="6">
        <v>462.3</v>
      </c>
      <c r="K79" s="6">
        <v>463.5</v>
      </c>
      <c r="L79" s="7">
        <v>604.1892017331676</v>
      </c>
      <c r="M79" s="7">
        <v>835.7509675382088</v>
      </c>
      <c r="N79" s="7">
        <v>1096.0885419019912</v>
      </c>
    </row>
    <row r="80" spans="1:14" ht="15.75">
      <c r="A80" s="4" t="s">
        <v>82</v>
      </c>
      <c r="B80" s="4" t="s">
        <v>197</v>
      </c>
      <c r="C80" s="6">
        <v>17.8</v>
      </c>
      <c r="D80" s="6">
        <f>21.7</f>
        <v>21.7</v>
      </c>
      <c r="E80" s="6">
        <f>33.1</f>
        <v>33.1</v>
      </c>
      <c r="F80" s="6">
        <v>43.73133261105092</v>
      </c>
      <c r="G80" s="17">
        <v>43.40909957771421</v>
      </c>
      <c r="H80" s="22">
        <v>44.93952898039769</v>
      </c>
      <c r="I80" s="6">
        <v>8.4</v>
      </c>
      <c r="J80" s="6">
        <v>7.5</v>
      </c>
      <c r="K80" s="6">
        <v>10.5</v>
      </c>
      <c r="L80" s="7">
        <v>15.403437555164881</v>
      </c>
      <c r="M80" s="7">
        <v>17.425482121342107</v>
      </c>
      <c r="N80" s="7">
        <v>19.76269916273377</v>
      </c>
    </row>
    <row r="81" spans="1:14" ht="15.75">
      <c r="A81" s="4" t="s">
        <v>83</v>
      </c>
      <c r="B81" s="9" t="s">
        <v>198</v>
      </c>
      <c r="C81" s="6">
        <v>4.7</v>
      </c>
      <c r="D81" s="6">
        <f>5.7</f>
        <v>5.7</v>
      </c>
      <c r="E81" s="6">
        <f>9.5</f>
        <v>9.5</v>
      </c>
      <c r="F81" s="6">
        <v>14.46442</v>
      </c>
      <c r="G81" s="17">
        <v>19.35565</v>
      </c>
      <c r="H81" s="22">
        <v>32.81936</v>
      </c>
      <c r="I81" s="6">
        <v>0.4</v>
      </c>
      <c r="J81" s="6">
        <v>0.5</v>
      </c>
      <c r="K81" s="6">
        <v>0.9</v>
      </c>
      <c r="L81" s="7">
        <v>1.66597</v>
      </c>
      <c r="M81" s="7">
        <v>1.93736</v>
      </c>
      <c r="N81" s="7">
        <v>3.55883</v>
      </c>
    </row>
    <row r="82" spans="1:14" ht="15.75">
      <c r="A82" s="4" t="s">
        <v>84</v>
      </c>
      <c r="B82" s="4" t="s">
        <v>199</v>
      </c>
      <c r="C82" s="6">
        <v>69.1</v>
      </c>
      <c r="D82" s="6">
        <f>67.3</f>
        <v>67.3</v>
      </c>
      <c r="E82" s="6">
        <f>94.7</f>
        <v>94.7</v>
      </c>
      <c r="F82" s="6">
        <v>141.42985635742235</v>
      </c>
      <c r="G82" s="17">
        <v>190.95240204982795</v>
      </c>
      <c r="H82" s="22">
        <v>281.08141526403705</v>
      </c>
      <c r="I82" s="6">
        <v>52.4</v>
      </c>
      <c r="J82" s="6">
        <v>48.9</v>
      </c>
      <c r="K82" s="6">
        <v>70</v>
      </c>
      <c r="L82" s="7">
        <v>135.45796158461135</v>
      </c>
      <c r="M82" s="7">
        <v>194.79464897971235</v>
      </c>
      <c r="N82" s="7">
        <v>350.9518870383541</v>
      </c>
    </row>
    <row r="83" spans="1:14" ht="15.75">
      <c r="A83" s="4" t="s">
        <v>85</v>
      </c>
      <c r="B83" s="9" t="s">
        <v>200</v>
      </c>
      <c r="C83" s="6">
        <v>3.4</v>
      </c>
      <c r="D83" s="6">
        <f>4</f>
        <v>4</v>
      </c>
      <c r="E83" s="6">
        <f>5</f>
        <v>5</v>
      </c>
      <c r="F83" s="6">
        <v>6.32545</v>
      </c>
      <c r="G83" s="17">
        <v>15.26894</v>
      </c>
      <c r="H83" s="22">
        <v>16.157922077922077</v>
      </c>
      <c r="I83" s="6">
        <v>0.4</v>
      </c>
      <c r="J83" s="6">
        <v>0.5</v>
      </c>
      <c r="K83" s="6">
        <v>1.2</v>
      </c>
      <c r="L83" s="7">
        <v>1.78556</v>
      </c>
      <c r="M83" s="7">
        <v>3.21286</v>
      </c>
      <c r="N83" s="7">
        <v>3.321395194805194</v>
      </c>
    </row>
    <row r="84" spans="1:14" ht="15.75">
      <c r="A84" s="4" t="s">
        <v>86</v>
      </c>
      <c r="B84" s="9" t="s">
        <v>201</v>
      </c>
      <c r="C84" s="6">
        <v>4.9</v>
      </c>
      <c r="D84" s="6">
        <f>10.2</f>
        <v>10.2</v>
      </c>
      <c r="E84" s="6">
        <f>16.6</f>
        <v>16.6</v>
      </c>
      <c r="F84" s="6">
        <v>29.00218</v>
      </c>
      <c r="G84" s="17">
        <v>45.93676</v>
      </c>
      <c r="H84" s="22">
        <v>45.51764</v>
      </c>
      <c r="I84" s="6">
        <v>16.6</v>
      </c>
      <c r="J84" s="6">
        <v>26</v>
      </c>
      <c r="K84" s="6">
        <v>66.6</v>
      </c>
      <c r="L84" s="7">
        <v>73.87191</v>
      </c>
      <c r="M84" s="7">
        <v>140.99578</v>
      </c>
      <c r="N84" s="7">
        <v>126.55955</v>
      </c>
    </row>
    <row r="85" spans="1:14" ht="15.75">
      <c r="A85" s="4" t="s">
        <v>87</v>
      </c>
      <c r="B85" s="9" t="s">
        <v>202</v>
      </c>
      <c r="C85" s="6">
        <v>2.6</v>
      </c>
      <c r="D85" s="6">
        <f>2.9</f>
        <v>2.9</v>
      </c>
      <c r="E85" s="6">
        <f>3.1</f>
        <v>3.1</v>
      </c>
      <c r="F85" s="6">
        <v>3.401</v>
      </c>
      <c r="G85" s="17">
        <v>5.0740582527010005</v>
      </c>
      <c r="H85" s="22">
        <v>5.71564832295</v>
      </c>
      <c r="I85" s="6">
        <v>0</v>
      </c>
      <c r="J85" s="6">
        <v>0.1</v>
      </c>
      <c r="K85" s="6">
        <v>0</v>
      </c>
      <c r="L85" s="7">
        <v>0.052971866000000006</v>
      </c>
      <c r="M85" s="7">
        <v>0.07482132823</v>
      </c>
      <c r="N85" s="7">
        <v>0.14384501349999998</v>
      </c>
    </row>
    <row r="86" spans="1:14" ht="15.75">
      <c r="A86" s="4" t="s">
        <v>88</v>
      </c>
      <c r="B86" s="9" t="s">
        <v>203</v>
      </c>
      <c r="C86" s="6" t="s">
        <v>3</v>
      </c>
      <c r="D86" s="6" t="s">
        <v>3</v>
      </c>
      <c r="E86" s="6" t="s">
        <v>3</v>
      </c>
      <c r="F86" s="6">
        <v>0.21242305805396566</v>
      </c>
      <c r="G86" s="17">
        <v>0.2572734426229508</v>
      </c>
      <c r="H86" s="22">
        <v>0.4090586707930368</v>
      </c>
      <c r="I86" s="6" t="s">
        <v>3</v>
      </c>
      <c r="J86" s="6" t="s">
        <v>3</v>
      </c>
      <c r="K86" s="6" t="s">
        <v>3</v>
      </c>
      <c r="L86" s="7">
        <v>0.0030840980501676534</v>
      </c>
      <c r="M86" s="7">
        <v>0.0015613645584318134</v>
      </c>
      <c r="N86" s="7">
        <v>0.0017053052258991883</v>
      </c>
    </row>
    <row r="87" spans="1:14" ht="15.75">
      <c r="A87" s="4" t="s">
        <v>89</v>
      </c>
      <c r="B87" s="9" t="s">
        <v>204</v>
      </c>
      <c r="C87" s="6">
        <v>9.8</v>
      </c>
      <c r="D87" s="6">
        <f>13.4</f>
        <v>13.4</v>
      </c>
      <c r="E87" s="6">
        <f>16.1</f>
        <v>16.1</v>
      </c>
      <c r="F87" s="6">
        <v>20.114849999999997</v>
      </c>
      <c r="G87" s="17">
        <v>35.99471</v>
      </c>
      <c r="H87" s="22">
        <v>59.6575</v>
      </c>
      <c r="I87" s="6">
        <v>0.7</v>
      </c>
      <c r="J87" s="6">
        <v>1.1</v>
      </c>
      <c r="K87" s="6">
        <v>0.8</v>
      </c>
      <c r="L87" s="7">
        <v>1.12691</v>
      </c>
      <c r="M87" s="7">
        <v>2.01651</v>
      </c>
      <c r="N87" s="7">
        <v>4.27566</v>
      </c>
    </row>
    <row r="88" spans="1:14" ht="15.75">
      <c r="A88" s="4" t="s">
        <v>90</v>
      </c>
      <c r="B88" s="4" t="s">
        <v>205</v>
      </c>
      <c r="C88" s="6">
        <v>21.3</v>
      </c>
      <c r="D88" s="6">
        <f>39</f>
        <v>39</v>
      </c>
      <c r="E88" s="6">
        <f>23.6</f>
        <v>23.6</v>
      </c>
      <c r="F88" s="6">
        <v>28.94781</v>
      </c>
      <c r="G88" s="17">
        <v>40.15345</v>
      </c>
      <c r="H88" s="22">
        <v>68.38205</v>
      </c>
      <c r="I88" s="6">
        <v>3</v>
      </c>
      <c r="J88" s="6">
        <v>3.1</v>
      </c>
      <c r="K88" s="6">
        <v>2.6</v>
      </c>
      <c r="L88" s="7">
        <v>3.66421</v>
      </c>
      <c r="M88" s="7">
        <v>6.9505799999999995</v>
      </c>
      <c r="N88" s="7">
        <v>11.243079999999999</v>
      </c>
    </row>
    <row r="89" spans="1:14" ht="15.75">
      <c r="A89" s="4" t="s">
        <v>91</v>
      </c>
      <c r="B89" s="4" t="s">
        <v>206</v>
      </c>
      <c r="C89" s="6">
        <v>25.9</v>
      </c>
      <c r="D89" s="6">
        <f>28.8</f>
        <v>28.8</v>
      </c>
      <c r="E89" s="6">
        <f>37.2</f>
        <v>37.2</v>
      </c>
      <c r="F89" s="6">
        <v>71.10197</v>
      </c>
      <c r="G89" s="17">
        <v>93.87338000000001</v>
      </c>
      <c r="H89" s="22">
        <v>149.05416</v>
      </c>
      <c r="I89" s="6">
        <v>10.6</v>
      </c>
      <c r="J89" s="6">
        <v>5.8</v>
      </c>
      <c r="K89" s="6">
        <v>8.5</v>
      </c>
      <c r="L89" s="7">
        <v>16.56879</v>
      </c>
      <c r="M89" s="7">
        <v>29.973950000000002</v>
      </c>
      <c r="N89" s="7">
        <v>55.040769999999995</v>
      </c>
    </row>
    <row r="90" spans="1:14" ht="15.75">
      <c r="A90" s="4" t="s">
        <v>92</v>
      </c>
      <c r="B90" s="4" t="s">
        <v>207</v>
      </c>
      <c r="C90" s="6">
        <v>60.7</v>
      </c>
      <c r="D90" s="6">
        <f>42.8</f>
        <v>42.8</v>
      </c>
      <c r="E90" s="6">
        <f>58.3</f>
        <v>58.3</v>
      </c>
      <c r="F90" s="6">
        <v>73.40388837980154</v>
      </c>
      <c r="G90" s="17">
        <v>66.98130500176948</v>
      </c>
      <c r="H90" s="22">
        <v>104.20105907925624</v>
      </c>
      <c r="I90" s="6">
        <v>34.8</v>
      </c>
      <c r="J90" s="6">
        <v>20.3</v>
      </c>
      <c r="K90" s="6">
        <v>21.4</v>
      </c>
      <c r="L90" s="7">
        <v>34.55247926976397</v>
      </c>
      <c r="M90" s="7">
        <v>41.636263736263736</v>
      </c>
      <c r="N90" s="7">
        <v>70.23020710349597</v>
      </c>
    </row>
    <row r="91" spans="1:14" ht="15.75">
      <c r="A91" s="4" t="s">
        <v>93</v>
      </c>
      <c r="B91" s="9" t="s">
        <v>208</v>
      </c>
      <c r="C91" s="6">
        <v>1.1</v>
      </c>
      <c r="D91" s="6">
        <f>4.6</f>
        <v>4.6</v>
      </c>
      <c r="E91" s="6">
        <f>5.6</f>
        <v>5.6</v>
      </c>
      <c r="F91" s="6">
        <v>11.786040000000002</v>
      </c>
      <c r="G91" s="17">
        <v>20.58785</v>
      </c>
      <c r="H91" s="22">
        <v>32.784330000000004</v>
      </c>
      <c r="I91" s="6">
        <v>0.1</v>
      </c>
      <c r="J91" s="6">
        <v>0.4</v>
      </c>
      <c r="K91" s="6">
        <v>0.4</v>
      </c>
      <c r="L91" s="7">
        <v>0.94347</v>
      </c>
      <c r="M91" s="7">
        <v>3.39855</v>
      </c>
      <c r="N91" s="7">
        <v>4.25986</v>
      </c>
    </row>
    <row r="92" spans="1:14" ht="15.75">
      <c r="A92" s="4" t="s">
        <v>94</v>
      </c>
      <c r="B92" s="4" t="s">
        <v>209</v>
      </c>
      <c r="C92" s="6">
        <v>76.2</v>
      </c>
      <c r="D92" s="6">
        <f>124.2</f>
        <v>124.2</v>
      </c>
      <c r="E92" s="6">
        <f>230.8</f>
        <v>230.8</v>
      </c>
      <c r="F92" s="6">
        <v>267.95734999999996</v>
      </c>
      <c r="G92" s="17">
        <v>548.57905</v>
      </c>
      <c r="H92" s="22">
        <v>1057.1888066057622</v>
      </c>
      <c r="I92" s="6">
        <v>22.9</v>
      </c>
      <c r="J92" s="6">
        <v>36.1</v>
      </c>
      <c r="K92" s="6">
        <v>81</v>
      </c>
      <c r="L92" s="7">
        <v>130.83776</v>
      </c>
      <c r="M92" s="7">
        <v>159.32995000000003</v>
      </c>
      <c r="N92" s="7">
        <v>514.36176</v>
      </c>
    </row>
    <row r="93" spans="1:14" ht="15.75">
      <c r="A93" s="4" t="s">
        <v>95</v>
      </c>
      <c r="B93" s="4" t="s">
        <v>210</v>
      </c>
      <c r="C93" s="6">
        <v>73.2</v>
      </c>
      <c r="D93" s="6">
        <f>74.9</f>
        <v>74.9</v>
      </c>
      <c r="E93" s="6">
        <f>157.3</f>
        <v>157.3</v>
      </c>
      <c r="F93" s="6">
        <v>306.24753999999996</v>
      </c>
      <c r="G93" s="17">
        <v>646.10357</v>
      </c>
      <c r="H93" s="22">
        <v>326.86922</v>
      </c>
      <c r="I93" s="6">
        <v>22.3</v>
      </c>
      <c r="J93" s="6">
        <v>35.7</v>
      </c>
      <c r="K93" s="6">
        <v>159.1</v>
      </c>
      <c r="L93" s="7">
        <v>472.99872</v>
      </c>
      <c r="M93" s="7">
        <v>1103.50246</v>
      </c>
      <c r="N93" s="7">
        <v>1403.02666</v>
      </c>
    </row>
    <row r="94" spans="1:14" ht="15.75">
      <c r="A94" s="4" t="s">
        <v>96</v>
      </c>
      <c r="B94" s="4" t="s">
        <v>211</v>
      </c>
      <c r="C94" s="6">
        <v>117.1</v>
      </c>
      <c r="D94" s="6">
        <f>101.9</f>
        <v>101.9</v>
      </c>
      <c r="E94" s="6">
        <f>145.1</f>
        <v>145.1</v>
      </c>
      <c r="F94" s="6">
        <v>171.55515008529773</v>
      </c>
      <c r="G94" s="17">
        <v>316.6578818859755</v>
      </c>
      <c r="H94" s="22">
        <v>276.32935670990025</v>
      </c>
      <c r="I94" s="6">
        <v>63</v>
      </c>
      <c r="J94" s="6">
        <v>56.1</v>
      </c>
      <c r="K94" s="6">
        <v>87.9</v>
      </c>
      <c r="L94" s="7">
        <v>81.31387826243436</v>
      </c>
      <c r="M94" s="7">
        <v>119.82073343896263</v>
      </c>
      <c r="N94" s="7">
        <v>184.37974789791988</v>
      </c>
    </row>
    <row r="95" spans="1:14" ht="15.75">
      <c r="A95" s="4" t="s">
        <v>97</v>
      </c>
      <c r="B95" s="9" t="s">
        <v>212</v>
      </c>
      <c r="C95" s="6">
        <v>0.5</v>
      </c>
      <c r="D95" s="6">
        <f>1.9</f>
        <v>1.9</v>
      </c>
      <c r="E95" s="6">
        <f>2.8</f>
        <v>2.8</v>
      </c>
      <c r="F95" s="6">
        <v>4.410159999999999</v>
      </c>
      <c r="G95" s="17">
        <v>4.392720000000001</v>
      </c>
      <c r="H95" s="22">
        <v>5.57399</v>
      </c>
      <c r="I95" s="6">
        <v>0.5</v>
      </c>
      <c r="J95" s="6">
        <v>0.8</v>
      </c>
      <c r="K95" s="6">
        <v>0.7</v>
      </c>
      <c r="L95" s="7">
        <v>0.65524</v>
      </c>
      <c r="M95" s="7">
        <v>0.06906</v>
      </c>
      <c r="N95" s="7">
        <v>0.08963</v>
      </c>
    </row>
    <row r="96" spans="1:14" ht="15.75">
      <c r="A96" s="4" t="s">
        <v>98</v>
      </c>
      <c r="B96" s="9" t="s">
        <v>213</v>
      </c>
      <c r="C96" s="6">
        <v>2.8</v>
      </c>
      <c r="D96" s="6">
        <f>4.6</f>
        <v>4.6</v>
      </c>
      <c r="E96" s="6">
        <f>7.1</f>
        <v>7.1</v>
      </c>
      <c r="F96" s="6">
        <v>9.67682</v>
      </c>
      <c r="G96" s="17">
        <v>7.89888</v>
      </c>
      <c r="H96" s="22">
        <v>15.181719999999999</v>
      </c>
      <c r="I96" s="6">
        <v>0.8</v>
      </c>
      <c r="J96" s="6">
        <v>1</v>
      </c>
      <c r="K96" s="6">
        <v>0.7</v>
      </c>
      <c r="L96" s="7">
        <v>1.16989</v>
      </c>
      <c r="M96" s="7">
        <v>0.78813</v>
      </c>
      <c r="N96" s="7">
        <v>1.01902</v>
      </c>
    </row>
    <row r="97" spans="1:14" ht="15.75">
      <c r="A97" s="4" t="s">
        <v>99</v>
      </c>
      <c r="B97" s="9" t="s">
        <v>214</v>
      </c>
      <c r="C97" s="6">
        <v>88.4</v>
      </c>
      <c r="D97" s="6">
        <f>184.6</f>
        <v>184.6</v>
      </c>
      <c r="E97" s="6">
        <f>267.7</f>
        <v>267.7</v>
      </c>
      <c r="F97" s="6">
        <v>455.53623</v>
      </c>
      <c r="G97" s="17">
        <v>565.40796</v>
      </c>
      <c r="H97" s="22">
        <v>715.02525</v>
      </c>
      <c r="I97" s="6">
        <v>34.7</v>
      </c>
      <c r="J97" s="6">
        <v>78.8</v>
      </c>
      <c r="K97" s="6">
        <v>102.8</v>
      </c>
      <c r="L97" s="7">
        <v>162.83176</v>
      </c>
      <c r="M97" s="7">
        <v>200.71798</v>
      </c>
      <c r="N97" s="7">
        <v>312.43921</v>
      </c>
    </row>
    <row r="98" spans="1:14" ht="15.75">
      <c r="A98" s="4" t="s">
        <v>100</v>
      </c>
      <c r="B98" s="9" t="s">
        <v>215</v>
      </c>
      <c r="C98" s="6">
        <v>597.5</v>
      </c>
      <c r="D98" s="6">
        <f>461.6</f>
        <v>461.6</v>
      </c>
      <c r="E98" s="6">
        <f>726.2</f>
        <v>726.2</v>
      </c>
      <c r="F98" s="6">
        <v>940.6728829686014</v>
      </c>
      <c r="G98" s="17">
        <v>960.0236322249734</v>
      </c>
      <c r="H98" s="22">
        <v>1323.0897533957536</v>
      </c>
      <c r="I98" s="6">
        <v>908.4</v>
      </c>
      <c r="J98" s="6">
        <v>1014</v>
      </c>
      <c r="K98" s="6">
        <v>935.2</v>
      </c>
      <c r="L98" s="7">
        <v>1194.6625139846449</v>
      </c>
      <c r="M98" s="7">
        <v>1557.2461373506421</v>
      </c>
      <c r="N98" s="7">
        <v>1930.6198422535733</v>
      </c>
    </row>
    <row r="99" spans="1:14" ht="15.75">
      <c r="A99" s="4" t="s">
        <v>101</v>
      </c>
      <c r="B99" s="9" t="s">
        <v>216</v>
      </c>
      <c r="C99" s="6">
        <v>1.3</v>
      </c>
      <c r="D99" s="6">
        <f>1.7</f>
        <v>1.7</v>
      </c>
      <c r="E99" s="6">
        <f>2.7</f>
        <v>2.7</v>
      </c>
      <c r="F99" s="6">
        <v>3.65701</v>
      </c>
      <c r="G99" s="17">
        <v>5.71999</v>
      </c>
      <c r="H99" s="22">
        <v>7.7688500000000005</v>
      </c>
      <c r="I99" s="6">
        <v>0.2</v>
      </c>
      <c r="J99" s="6">
        <v>0.3</v>
      </c>
      <c r="K99" s="6">
        <v>0.8</v>
      </c>
      <c r="L99" s="7">
        <v>0.5821900000000001</v>
      </c>
      <c r="M99" s="7">
        <v>1.1380299999999999</v>
      </c>
      <c r="N99" s="7">
        <v>1.00279</v>
      </c>
    </row>
    <row r="100" spans="1:14" ht="15.75">
      <c r="A100" s="4" t="s">
        <v>102</v>
      </c>
      <c r="B100" s="9" t="s">
        <v>217</v>
      </c>
      <c r="C100" s="6">
        <v>0.1</v>
      </c>
      <c r="D100" s="6">
        <f>0.1</f>
        <v>0.1</v>
      </c>
      <c r="E100" s="6">
        <f>0.2</f>
        <v>0.2</v>
      </c>
      <c r="F100" s="6">
        <v>0.22471930297314294</v>
      </c>
      <c r="G100" s="17">
        <v>0.19675135886739983</v>
      </c>
      <c r="H100" s="22">
        <v>0.19985802480803727</v>
      </c>
      <c r="I100" s="6">
        <v>0</v>
      </c>
      <c r="J100" s="6">
        <v>0</v>
      </c>
      <c r="K100" s="6">
        <v>0</v>
      </c>
      <c r="L100" s="7">
        <v>4.0063506056747314E-05</v>
      </c>
      <c r="M100" s="7">
        <v>2.8974452751977657E-05</v>
      </c>
      <c r="N100" s="7">
        <v>6.072090048749374E-05</v>
      </c>
    </row>
    <row r="101" spans="1:14" ht="15.75">
      <c r="A101" s="4" t="s">
        <v>103</v>
      </c>
      <c r="B101" s="4" t="s">
        <v>218</v>
      </c>
      <c r="C101" s="6">
        <v>232.6</v>
      </c>
      <c r="D101" s="6">
        <f>177.1</f>
        <v>177.1</v>
      </c>
      <c r="E101" s="6">
        <f>287.5</f>
        <v>287.5</v>
      </c>
      <c r="F101" s="6">
        <v>376.78109540207623</v>
      </c>
      <c r="G101" s="17">
        <v>403.94797445305073</v>
      </c>
      <c r="H101" s="22">
        <v>573.2503095486542</v>
      </c>
      <c r="I101" s="6">
        <v>294.9</v>
      </c>
      <c r="J101" s="6">
        <v>218.5</v>
      </c>
      <c r="K101" s="6">
        <v>263.8</v>
      </c>
      <c r="L101" s="7">
        <v>412.430510513041</v>
      </c>
      <c r="M101" s="7">
        <v>463.9524168309234</v>
      </c>
      <c r="N101" s="7">
        <v>677.1222594512459</v>
      </c>
    </row>
    <row r="102" spans="1:14" ht="15.75">
      <c r="A102" s="4" t="s">
        <v>104</v>
      </c>
      <c r="B102" s="4" t="s">
        <v>219</v>
      </c>
      <c r="C102" s="6">
        <v>521.2</v>
      </c>
      <c r="D102" s="6">
        <f>553.8</f>
        <v>553.8</v>
      </c>
      <c r="E102" s="6">
        <f>725.7</f>
        <v>725.7</v>
      </c>
      <c r="F102" s="6">
        <v>825.8492129100343</v>
      </c>
      <c r="G102" s="17">
        <v>938.6235388406677</v>
      </c>
      <c r="H102" s="22">
        <v>1212.5083149012862</v>
      </c>
      <c r="I102" s="6">
        <v>576.9</v>
      </c>
      <c r="J102" s="6">
        <v>656.7</v>
      </c>
      <c r="K102" s="6">
        <v>575.6</v>
      </c>
      <c r="L102" s="7">
        <v>727.1421243529318</v>
      </c>
      <c r="M102" s="7">
        <v>883.2698291792785</v>
      </c>
      <c r="N102" s="7">
        <v>1286.7619194171336</v>
      </c>
    </row>
    <row r="103" spans="1:14" ht="15.75">
      <c r="A103" s="4" t="s">
        <v>105</v>
      </c>
      <c r="B103" s="4" t="s">
        <v>220</v>
      </c>
      <c r="C103" s="6">
        <v>293.5</v>
      </c>
      <c r="D103" s="6">
        <f>261.5</f>
        <v>261.5</v>
      </c>
      <c r="E103" s="6">
        <f>379</f>
        <v>379</v>
      </c>
      <c r="F103" s="6">
        <v>441.43577</v>
      </c>
      <c r="G103" s="17">
        <v>515.9796775356697</v>
      </c>
      <c r="H103" s="22">
        <v>654.8582218335123</v>
      </c>
      <c r="I103" s="6">
        <v>524.4</v>
      </c>
      <c r="J103" s="6">
        <v>631.9</v>
      </c>
      <c r="K103" s="6">
        <v>592</v>
      </c>
      <c r="L103" s="7">
        <v>718.6193199999999</v>
      </c>
      <c r="M103" s="7">
        <v>716.4709109412607</v>
      </c>
      <c r="N103" s="7">
        <v>894.5527340756101</v>
      </c>
    </row>
    <row r="104" spans="1:14" ht="15.75">
      <c r="A104" s="4" t="s">
        <v>106</v>
      </c>
      <c r="B104" s="4" t="s">
        <v>221</v>
      </c>
      <c r="C104" s="6">
        <v>36.3</v>
      </c>
      <c r="D104" s="6">
        <f>46.1</f>
        <v>46.1</v>
      </c>
      <c r="E104" s="6">
        <f>118.7</f>
        <v>118.7</v>
      </c>
      <c r="F104" s="6">
        <v>115.39979485199486</v>
      </c>
      <c r="G104" s="17">
        <v>124.86408975609756</v>
      </c>
      <c r="H104" s="22">
        <v>141.09306750000002</v>
      </c>
      <c r="I104" s="6">
        <v>31.1</v>
      </c>
      <c r="J104" s="6">
        <v>47.6</v>
      </c>
      <c r="K104" s="6">
        <v>96.6</v>
      </c>
      <c r="L104" s="7">
        <v>109.94855834269505</v>
      </c>
      <c r="M104" s="7">
        <v>89.28957000000001</v>
      </c>
      <c r="N104" s="7">
        <v>100.7967645502574</v>
      </c>
    </row>
    <row r="105" spans="1:14" ht="15.75">
      <c r="A105" s="4" t="s">
        <v>107</v>
      </c>
      <c r="B105" s="9" t="s">
        <v>233</v>
      </c>
      <c r="C105" s="6">
        <v>3.9</v>
      </c>
      <c r="D105" s="6">
        <f>6.5</f>
        <v>6.5</v>
      </c>
      <c r="E105" s="6">
        <f>10.6</f>
        <v>10.6</v>
      </c>
      <c r="F105" s="6">
        <v>17.050919999999998</v>
      </c>
      <c r="G105" s="17">
        <v>16.97174</v>
      </c>
      <c r="H105" s="22">
        <v>15.570620000000002</v>
      </c>
      <c r="I105" s="6">
        <v>0.2</v>
      </c>
      <c r="J105" s="6">
        <v>0.2</v>
      </c>
      <c r="K105" s="6">
        <v>0.4</v>
      </c>
      <c r="L105" s="7">
        <v>0.53062</v>
      </c>
      <c r="M105" s="7">
        <v>0.63112</v>
      </c>
      <c r="N105" s="7">
        <v>0.41537999999999997</v>
      </c>
    </row>
    <row r="106" spans="1:14" ht="15.75">
      <c r="A106" s="4" t="s">
        <v>108</v>
      </c>
      <c r="B106" s="9" t="s">
        <v>222</v>
      </c>
      <c r="C106" s="6">
        <v>2.3</v>
      </c>
      <c r="D106" s="6">
        <f>2.1</f>
        <v>2.1</v>
      </c>
      <c r="E106" s="6">
        <f>2.5</f>
        <v>2.5</v>
      </c>
      <c r="F106" s="6">
        <v>2.64107</v>
      </c>
      <c r="G106" s="17">
        <v>2.87614</v>
      </c>
      <c r="H106" s="22">
        <v>4.44638</v>
      </c>
      <c r="I106" s="6">
        <v>0.3</v>
      </c>
      <c r="J106" s="6">
        <v>0.2</v>
      </c>
      <c r="K106" s="6">
        <v>0.2</v>
      </c>
      <c r="L106" s="7">
        <v>0.22608</v>
      </c>
      <c r="M106" s="7">
        <v>0.45507</v>
      </c>
      <c r="N106" s="7">
        <v>0.52199</v>
      </c>
    </row>
    <row r="107" spans="1:14" ht="15.75">
      <c r="A107" s="4" t="s">
        <v>109</v>
      </c>
      <c r="B107" s="4" t="s">
        <v>223</v>
      </c>
      <c r="C107" s="6">
        <v>47.7</v>
      </c>
      <c r="D107" s="6">
        <f>34</f>
        <v>34</v>
      </c>
      <c r="E107" s="6">
        <f>68.4</f>
        <v>68.4</v>
      </c>
      <c r="F107" s="6">
        <v>98.2985</v>
      </c>
      <c r="G107" s="17">
        <v>161.53743</v>
      </c>
      <c r="H107" s="22">
        <v>162.39864</v>
      </c>
      <c r="I107" s="6">
        <v>64.7</v>
      </c>
      <c r="J107" s="6">
        <v>70.7</v>
      </c>
      <c r="K107" s="6">
        <v>99.6</v>
      </c>
      <c r="L107" s="7">
        <v>147.42638</v>
      </c>
      <c r="M107" s="7">
        <v>201.25814000000003</v>
      </c>
      <c r="N107" s="7">
        <v>227.61511</v>
      </c>
    </row>
    <row r="108" spans="1:14" ht="15.75">
      <c r="A108" s="4" t="s">
        <v>110</v>
      </c>
      <c r="B108" s="9" t="s">
        <v>224</v>
      </c>
      <c r="C108" s="6">
        <v>1.5</v>
      </c>
      <c r="D108" s="6">
        <f>3.1</f>
        <v>3.1</v>
      </c>
      <c r="E108" s="6">
        <f>4.3</f>
        <v>4.3</v>
      </c>
      <c r="F108" s="6">
        <v>11.77837</v>
      </c>
      <c r="G108" s="17">
        <v>24.97555</v>
      </c>
      <c r="H108" s="22">
        <v>42.86965</v>
      </c>
      <c r="I108" s="6">
        <v>0.2</v>
      </c>
      <c r="J108" s="6">
        <v>0.1</v>
      </c>
      <c r="K108" s="6">
        <v>0.1</v>
      </c>
      <c r="L108" s="7">
        <v>0.2007</v>
      </c>
      <c r="M108" s="7">
        <v>0.6598200000000001</v>
      </c>
      <c r="N108" s="7">
        <v>1.1988699999999999</v>
      </c>
    </row>
    <row r="109" spans="1:14" ht="15.75">
      <c r="A109" s="4" t="s">
        <v>111</v>
      </c>
      <c r="B109" s="9" t="s">
        <v>225</v>
      </c>
      <c r="C109" s="6">
        <v>13.7</v>
      </c>
      <c r="D109" s="6" t="s">
        <v>3</v>
      </c>
      <c r="E109" s="6" t="s">
        <v>3</v>
      </c>
      <c r="F109" s="6" t="s">
        <v>3</v>
      </c>
      <c r="G109" s="17">
        <v>225.56795911541516</v>
      </c>
      <c r="H109" s="22">
        <v>138.53144</v>
      </c>
      <c r="I109" s="6">
        <v>0.4</v>
      </c>
      <c r="J109" s="6" t="s">
        <v>3</v>
      </c>
      <c r="K109" s="6" t="s">
        <v>3</v>
      </c>
      <c r="L109" s="7">
        <v>4.449786358417055</v>
      </c>
      <c r="M109" s="7">
        <v>143.12746135267508</v>
      </c>
      <c r="N109" s="7">
        <v>113.00461</v>
      </c>
    </row>
    <row r="110" spans="1:14" ht="15.75">
      <c r="A110" s="4" t="s">
        <v>112</v>
      </c>
      <c r="B110" s="4" t="s">
        <v>226</v>
      </c>
      <c r="C110" s="6">
        <v>2149.5</v>
      </c>
      <c r="D110" s="6" t="s">
        <v>113</v>
      </c>
      <c r="E110" s="6" t="s">
        <v>114</v>
      </c>
      <c r="F110" s="6">
        <v>2815.9280194279127</v>
      </c>
      <c r="G110" s="17">
        <v>3058.1824144703864</v>
      </c>
      <c r="H110" s="22">
        <v>3794.3102884556656</v>
      </c>
      <c r="I110" s="6">
        <v>4594.1</v>
      </c>
      <c r="J110" s="6" t="s">
        <v>115</v>
      </c>
      <c r="K110" s="6" t="s">
        <v>116</v>
      </c>
      <c r="L110" s="7">
        <v>3707.190890051115</v>
      </c>
      <c r="M110" s="7">
        <v>4167.0195406980565</v>
      </c>
      <c r="N110" s="7">
        <v>4242.082166553397</v>
      </c>
    </row>
    <row r="111" spans="1:14" ht="15.75">
      <c r="A111" s="4" t="s">
        <v>117</v>
      </c>
      <c r="B111" s="9" t="s">
        <v>227</v>
      </c>
      <c r="C111" s="6">
        <v>0.2</v>
      </c>
      <c r="D111" s="6">
        <f>0.2</f>
        <v>0.2</v>
      </c>
      <c r="E111" s="6">
        <f>0.2</f>
        <v>0.2</v>
      </c>
      <c r="F111" s="6">
        <v>0.33</v>
      </c>
      <c r="G111" s="17">
        <v>0.09571136286919832</v>
      </c>
      <c r="H111" s="22">
        <v>0.12506748537533238</v>
      </c>
      <c r="I111" s="6">
        <v>0</v>
      </c>
      <c r="J111" s="6">
        <v>0</v>
      </c>
      <c r="K111" s="6">
        <v>0</v>
      </c>
      <c r="L111" s="7">
        <v>1.0200612036722205E-05</v>
      </c>
      <c r="M111" s="7">
        <v>0.0010161584672188403</v>
      </c>
      <c r="N111" s="7">
        <v>0.0017753135604817744</v>
      </c>
    </row>
    <row r="112" spans="1:14" ht="15.75">
      <c r="A112" s="4" t="s">
        <v>118</v>
      </c>
      <c r="B112" s="9" t="s">
        <v>228</v>
      </c>
      <c r="C112" s="6" t="s">
        <v>3</v>
      </c>
      <c r="D112" s="6">
        <f>0</f>
        <v>0</v>
      </c>
      <c r="E112" s="6">
        <f>0</f>
        <v>0</v>
      </c>
      <c r="F112" s="6">
        <v>0.0043</v>
      </c>
      <c r="G112" s="17">
        <v>0.0368864</v>
      </c>
      <c r="H112" s="22">
        <v>0.7152936999999999</v>
      </c>
      <c r="I112" s="6" t="s">
        <v>3</v>
      </c>
      <c r="J112" s="6">
        <v>0</v>
      </c>
      <c r="K112" s="6">
        <v>0</v>
      </c>
      <c r="L112" s="7">
        <v>0.0001904328226201237</v>
      </c>
      <c r="M112" s="7">
        <v>0.0380297</v>
      </c>
      <c r="N112" s="7">
        <v>0.022262499999999998</v>
      </c>
    </row>
    <row r="113" spans="1:14" ht="15.75">
      <c r="A113" s="4" t="s">
        <v>119</v>
      </c>
      <c r="B113" s="9" t="s">
        <v>229</v>
      </c>
      <c r="C113" s="6">
        <v>6.2</v>
      </c>
      <c r="D113" s="6">
        <f>4</f>
        <v>4</v>
      </c>
      <c r="E113" s="6">
        <f>3.8</f>
        <v>3.8</v>
      </c>
      <c r="F113" s="6">
        <v>6.11688</v>
      </c>
      <c r="G113" s="17">
        <v>5.017399999999999</v>
      </c>
      <c r="H113" s="22">
        <v>8.250530000000001</v>
      </c>
      <c r="I113" s="6">
        <v>1.1</v>
      </c>
      <c r="J113" s="6">
        <v>0.1</v>
      </c>
      <c r="K113" s="6">
        <v>0.1</v>
      </c>
      <c r="L113" s="7">
        <v>0.45189</v>
      </c>
      <c r="M113" s="7">
        <v>0.24925</v>
      </c>
      <c r="N113" s="7">
        <v>0.66641</v>
      </c>
    </row>
    <row r="114" spans="1:14" ht="15.75">
      <c r="A114" s="4" t="s">
        <v>120</v>
      </c>
      <c r="B114" s="9" t="s">
        <v>234</v>
      </c>
      <c r="C114" s="6">
        <v>0.7</v>
      </c>
      <c r="D114" s="6">
        <f>0.6</f>
        <v>0.6</v>
      </c>
      <c r="E114" s="6">
        <f>6.3</f>
        <v>6.3</v>
      </c>
      <c r="F114" s="6">
        <v>1.0965253803810868</v>
      </c>
      <c r="G114" s="17">
        <v>4.4612140578687365</v>
      </c>
      <c r="H114" s="22">
        <v>2.728811088</v>
      </c>
      <c r="I114" s="6">
        <v>0.1</v>
      </c>
      <c r="J114" s="6">
        <v>0</v>
      </c>
      <c r="K114" s="6">
        <v>0.1</v>
      </c>
      <c r="L114" s="7">
        <v>0.20051484450731902</v>
      </c>
      <c r="M114" s="7">
        <v>2.0962284029694804</v>
      </c>
      <c r="N114" s="7">
        <v>1.0673679514668548</v>
      </c>
    </row>
    <row r="115" spans="1:14" ht="15.75">
      <c r="A115" s="4" t="s">
        <v>121</v>
      </c>
      <c r="B115" s="9" t="s">
        <v>230</v>
      </c>
      <c r="C115" s="6">
        <v>0.2</v>
      </c>
      <c r="D115" s="6">
        <f>0.2</f>
        <v>0.2</v>
      </c>
      <c r="E115" s="6" t="s">
        <v>3</v>
      </c>
      <c r="F115" s="6">
        <v>0.43015574468085105</v>
      </c>
      <c r="G115" s="17">
        <v>0.9889320644216691</v>
      </c>
      <c r="H115" s="22">
        <v>1.185510487804878</v>
      </c>
      <c r="I115" s="6">
        <v>0.1</v>
      </c>
      <c r="J115" s="6">
        <v>0</v>
      </c>
      <c r="K115" s="6" t="s">
        <v>3</v>
      </c>
      <c r="L115" s="7">
        <v>0.0066559873304273326</v>
      </c>
      <c r="M115" s="7">
        <v>0.014115649328786763</v>
      </c>
      <c r="N115" s="7">
        <v>0.022907568155881294</v>
      </c>
    </row>
    <row r="116" spans="1:14" ht="15.75">
      <c r="A116" s="4" t="s">
        <v>122</v>
      </c>
      <c r="B116" s="9" t="s">
        <v>231</v>
      </c>
      <c r="C116" s="6">
        <v>8</v>
      </c>
      <c r="D116" s="6">
        <f>15.6</f>
        <v>15.6</v>
      </c>
      <c r="E116" s="6">
        <f>5</f>
        <v>5</v>
      </c>
      <c r="F116" s="6">
        <v>1.9414200000000001</v>
      </c>
      <c r="G116" s="17">
        <v>2.40169</v>
      </c>
      <c r="H116" s="22">
        <v>26.556639999999998</v>
      </c>
      <c r="I116" s="6">
        <v>1.5</v>
      </c>
      <c r="J116" s="6">
        <v>2.5</v>
      </c>
      <c r="K116" s="6">
        <v>1.3</v>
      </c>
      <c r="L116" s="7">
        <v>0.13573</v>
      </c>
      <c r="M116" s="7">
        <v>0.33164</v>
      </c>
      <c r="N116" s="7">
        <v>0.89675</v>
      </c>
    </row>
    <row r="117" spans="1:14" ht="15.75">
      <c r="A117" s="10"/>
      <c r="B117" s="10"/>
      <c r="C117" s="11"/>
      <c r="D117" s="11"/>
      <c r="E117" s="11"/>
      <c r="F117" s="11"/>
      <c r="G117" s="14"/>
      <c r="H117" s="26"/>
      <c r="I117" s="11"/>
      <c r="J117" s="11"/>
      <c r="K117" s="11"/>
      <c r="L117" s="11"/>
      <c r="M117" s="3"/>
      <c r="N117" s="3"/>
    </row>
    <row r="118" spans="1:11" ht="15.75">
      <c r="A118" s="12"/>
      <c r="B118" s="12"/>
      <c r="C118" s="13"/>
      <c r="D118" s="13"/>
      <c r="E118" s="13"/>
      <c r="F118" s="6"/>
      <c r="I118" s="13"/>
      <c r="J118" s="13"/>
      <c r="K118" s="13"/>
    </row>
    <row r="119" ht="15.75">
      <c r="A119" s="1" t="s">
        <v>127</v>
      </c>
    </row>
    <row r="120" ht="15.75">
      <c r="A120" s="1" t="s">
        <v>242</v>
      </c>
    </row>
  </sheetData>
  <mergeCells count="16">
    <mergeCell ref="A5:A8"/>
    <mergeCell ref="B5:B8"/>
    <mergeCell ref="C7:C8"/>
    <mergeCell ref="D7:D8"/>
    <mergeCell ref="E7:E8"/>
    <mergeCell ref="F7:F8"/>
    <mergeCell ref="K7:K8"/>
    <mergeCell ref="L7:L8"/>
    <mergeCell ref="C5:H6"/>
    <mergeCell ref="H7:H8"/>
    <mergeCell ref="I5:N6"/>
    <mergeCell ref="N7:N8"/>
    <mergeCell ref="G7:G8"/>
    <mergeCell ref="M7:M8"/>
    <mergeCell ref="I7:I8"/>
    <mergeCell ref="J7:J8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" t="s">
        <v>250</v>
      </c>
    </row>
    <row r="3" ht="15.75">
      <c r="A3" s="27" t="s">
        <v>243</v>
      </c>
    </row>
    <row r="5" ht="15.75">
      <c r="A5" t="s">
        <v>244</v>
      </c>
    </row>
    <row r="6" ht="16.5">
      <c r="A6" s="1" t="s">
        <v>240</v>
      </c>
    </row>
    <row r="7" ht="15.75">
      <c r="A7" s="1" t="s">
        <v>0</v>
      </c>
    </row>
    <row r="8" ht="15.75">
      <c r="A8" s="1" t="s">
        <v>241</v>
      </c>
    </row>
    <row r="9" ht="15.75">
      <c r="A9" s="1" t="s">
        <v>1</v>
      </c>
    </row>
    <row r="11" ht="15.75">
      <c r="A11" s="5" t="s">
        <v>235</v>
      </c>
    </row>
    <row r="12" ht="15.75">
      <c r="A12" s="1" t="s">
        <v>123</v>
      </c>
    </row>
    <row r="13" ht="15.75">
      <c r="A13" s="1"/>
    </row>
    <row r="14" ht="15.75">
      <c r="A14" s="1" t="s">
        <v>236</v>
      </c>
    </row>
    <row r="15" ht="15.75">
      <c r="A15" s="1" t="s">
        <v>124</v>
      </c>
    </row>
    <row r="16" ht="15.75">
      <c r="A16" s="1" t="s">
        <v>125</v>
      </c>
    </row>
    <row r="17" ht="15.75">
      <c r="A17" s="1" t="s">
        <v>126</v>
      </c>
    </row>
    <row r="18" ht="15.75">
      <c r="A18" s="1"/>
    </row>
    <row r="19" ht="15.75">
      <c r="A19" s="1" t="s">
        <v>127</v>
      </c>
    </row>
    <row r="20" ht="15.75">
      <c r="A20" s="1" t="s">
        <v>242</v>
      </c>
    </row>
    <row r="21" ht="15.75">
      <c r="A21" s="1"/>
    </row>
    <row r="22" ht="15.75">
      <c r="A22" s="1" t="s">
        <v>245</v>
      </c>
    </row>
    <row r="23" ht="15.75">
      <c r="A23" s="27" t="s">
        <v>246</v>
      </c>
    </row>
  </sheetData>
  <hyperlinks>
    <hyperlink ref="A3" location="Data!A1" display="[Back to data]"/>
    <hyperlink ref="A23" r:id="rId1" display="http://www2.standardandpoors.com/portal/site/sp/en/us/page.siteselection/site_selection/0,0,0,0,0,0,0,0,0,0,0,0,0,0,0,0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and Foreign Stock Markets--Market Capitalization and Value of Shares Traded</dc:title>
  <dc:subject/>
  <dc:creator>US Census Bureau</dc:creator>
  <cp:keywords/>
  <dc:description/>
  <cp:lastModifiedBy>mulli320</cp:lastModifiedBy>
  <cp:lastPrinted>2007-07-10T12:36:11Z</cp:lastPrinted>
  <dcterms:created xsi:type="dcterms:W3CDTF">2005-04-06T18:30:54Z</dcterms:created>
  <dcterms:modified xsi:type="dcterms:W3CDTF">2007-11-26T18:41:30Z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