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8" windowWidth="12120" windowHeight="9120" activeTab="0"/>
  </bookViews>
  <sheets>
    <sheet name="Sheet1" sheetId="1" r:id="rId1"/>
    <sheet name="1-19" sheetId="2" r:id="rId2"/>
  </sheets>
  <definedNames/>
  <calcPr fullCalcOnLoad="1"/>
</workbook>
</file>

<file path=xl/sharedStrings.xml><?xml version="1.0" encoding="utf-8"?>
<sst xmlns="http://schemas.openxmlformats.org/spreadsheetml/2006/main" count="95" uniqueCount="52">
  <si>
    <t>Fleet</t>
  </si>
  <si>
    <t>Minicompact</t>
  </si>
  <si>
    <t xml:space="preserve">Subcompact </t>
  </si>
  <si>
    <t xml:space="preserve">Compact </t>
  </si>
  <si>
    <t xml:space="preserve">Midsize </t>
  </si>
  <si>
    <t xml:space="preserve">Large </t>
  </si>
  <si>
    <t xml:space="preserve">Two-seater </t>
  </si>
  <si>
    <t>Fuel economy, mpg</t>
  </si>
  <si>
    <t xml:space="preserve">Minicompact </t>
  </si>
  <si>
    <t>Subcompact</t>
  </si>
  <si>
    <t>Compact</t>
  </si>
  <si>
    <t>Midsize</t>
  </si>
  <si>
    <t>Large</t>
  </si>
  <si>
    <t>Two-seater</t>
  </si>
  <si>
    <t>1980</t>
  </si>
  <si>
    <t>1990</t>
  </si>
  <si>
    <t>1991</t>
  </si>
  <si>
    <t>1992</t>
  </si>
  <si>
    <t>1993</t>
  </si>
  <si>
    <t>1994</t>
  </si>
  <si>
    <t>1995</t>
  </si>
  <si>
    <t>1997</t>
  </si>
  <si>
    <t>1998</t>
  </si>
  <si>
    <t>1999</t>
  </si>
  <si>
    <t>2000</t>
  </si>
  <si>
    <t>2001</t>
  </si>
  <si>
    <r>
      <t>KEY:</t>
    </r>
    <r>
      <rPr>
        <sz val="9"/>
        <rFont val="Arial"/>
        <family val="2"/>
      </rPr>
      <t xml:space="preserve">  mpg = miles per gallon.</t>
    </r>
  </si>
  <si>
    <t>SOURCE</t>
  </si>
  <si>
    <t>NOTE</t>
  </si>
  <si>
    <t>Market share, percent</t>
  </si>
  <si>
    <r>
      <t xml:space="preserve">a  </t>
    </r>
    <r>
      <rPr>
        <sz val="9"/>
        <rFont val="Arial"/>
        <family val="2"/>
      </rPr>
      <t>Sales period is October 1 of the previous year through September 30 of the current year.  These figures represent only those sales that could be matched to corresponding U.S. Environmental Protection Agency fuel economy values.</t>
    </r>
  </si>
  <si>
    <t>TOTAL units</t>
  </si>
  <si>
    <t>1985</t>
  </si>
  <si>
    <t>1996</t>
  </si>
  <si>
    <t>2002</t>
  </si>
  <si>
    <t>2003</t>
  </si>
  <si>
    <r>
      <t xml:space="preserve">Light-Duty Vehicle MPG and Market Shares System Database, as cited in Oak Ridge National Laboratory, </t>
    </r>
    <r>
      <rPr>
        <i/>
        <sz val="9"/>
        <rFont val="Arial"/>
        <family val="2"/>
      </rPr>
      <t xml:space="preserve">Transportation Energy Data Book, </t>
    </r>
    <r>
      <rPr>
        <sz val="9"/>
        <rFont val="Arial"/>
        <family val="2"/>
      </rPr>
      <t>Edition 24</t>
    </r>
    <r>
      <rPr>
        <i/>
        <sz val="9"/>
        <rFont val="Arial"/>
        <family val="2"/>
      </rPr>
      <t>,</t>
    </r>
    <r>
      <rPr>
        <sz val="9"/>
        <rFont val="Arial"/>
        <family val="2"/>
      </rPr>
      <t xml:space="preserve"> table 4.7, p. 4-7, and similar tables in earlier editions (Oak Ridge, TN).</t>
    </r>
  </si>
  <si>
    <t>Numbers may not add to totals due to rounding.</t>
  </si>
  <si>
    <t>Table 1-19:  Period Sales, Market Shares, and Sales-Weighted Fuel Economies of New Domestic and Imported Automobiles (Thousands of vehicles)</t>
  </si>
  <si>
    <r>
      <t>Sales</t>
    </r>
    <r>
      <rPr>
        <b/>
        <vertAlign val="superscript"/>
        <sz val="11"/>
        <rFont val="Arial Narrow"/>
        <family val="2"/>
      </rPr>
      <t xml:space="preserve">a </t>
    </r>
  </si>
  <si>
    <t>2004</t>
  </si>
  <si>
    <t>2005</t>
  </si>
  <si>
    <t>2006</t>
  </si>
  <si>
    <t>Small Cars</t>
  </si>
  <si>
    <t>Midsize Cars</t>
  </si>
  <si>
    <t>Large Cars</t>
  </si>
  <si>
    <t>Small Wagons</t>
  </si>
  <si>
    <t>Midsize Wagons</t>
  </si>
  <si>
    <t>Large Wagons</t>
  </si>
  <si>
    <r>
      <t xml:space="preserve">Light-Duty Vehicle MPG and Market Shares System Database, as cited in Oak Ridge National Laboratory, </t>
    </r>
    <r>
      <rPr>
        <i/>
        <sz val="9"/>
        <rFont val="Arial"/>
        <family val="2"/>
      </rPr>
      <t xml:space="preserve">Transportation Energy Data Book, </t>
    </r>
    <r>
      <rPr>
        <sz val="9"/>
        <rFont val="Arial"/>
        <family val="2"/>
      </rPr>
      <t>Edition 26</t>
    </r>
    <r>
      <rPr>
        <i/>
        <sz val="9"/>
        <rFont val="Arial"/>
        <family val="2"/>
      </rPr>
      <t>,</t>
    </r>
    <r>
      <rPr>
        <sz val="9"/>
        <rFont val="Arial"/>
        <family val="2"/>
      </rPr>
      <t xml:space="preserve"> table 4.7, p. 4-7, and similar tables in earlier editions (Oak Ridge, TN).</t>
    </r>
  </si>
  <si>
    <t>Sales</t>
  </si>
  <si>
    <t>A new database is used in 2007 and all years have been updated with that data. These numbers are not comparable with previous editions of NTS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</si>
</sst>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,##0.0"/>
    <numFmt numFmtId="167" formatCode="0.0"/>
    <numFmt numFmtId="168" formatCode="0.0_W"/>
    <numFmt numFmtId="169" formatCode="0.0%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</cellStyleXfs>
  <cellXfs count="69">
    <xf numFmtId="0" fontId="0" fillId="0" borderId="0" xfId="0" applyAlignment="1">
      <alignment/>
    </xf>
    <xf numFmtId="0" fontId="17" fillId="0" borderId="0" xfId="0" applyFont="1" applyFill="1" applyAlignment="1">
      <alignment/>
    </xf>
    <xf numFmtId="0" fontId="17" fillId="0" borderId="0" xfId="26" applyFont="1" applyFill="1" applyBorder="1" applyAlignment="1">
      <alignment horizontal="left"/>
      <protection/>
    </xf>
    <xf numFmtId="3" fontId="17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166" fontId="17" fillId="0" borderId="0" xfId="19" applyNumberFormat="1" applyFont="1" applyFill="1" applyBorder="1" applyAlignment="1">
      <alignment horizontal="right"/>
      <protection/>
    </xf>
    <xf numFmtId="167" fontId="17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/>
    </xf>
    <xf numFmtId="166" fontId="17" fillId="0" borderId="4" xfId="19" applyNumberFormat="1" applyFont="1" applyFill="1" applyBorder="1" applyAlignment="1">
      <alignment horizontal="right"/>
      <protection/>
    </xf>
    <xf numFmtId="3" fontId="17" fillId="0" borderId="0" xfId="20" applyNumberFormat="1" applyFont="1" applyFill="1" applyBorder="1" applyAlignment="1">
      <alignment horizontal="right"/>
      <protection/>
    </xf>
    <xf numFmtId="0" fontId="15" fillId="0" borderId="0" xfId="26" applyFont="1" applyFill="1" applyBorder="1" applyAlignment="1">
      <alignment horizontal="left"/>
      <protection/>
    </xf>
    <xf numFmtId="167" fontId="15" fillId="0" borderId="0" xfId="26" applyNumberFormat="1" applyFont="1" applyFill="1" applyBorder="1" applyAlignment="1">
      <alignment horizontal="left"/>
      <protection/>
    </xf>
    <xf numFmtId="167" fontId="17" fillId="0" borderId="0" xfId="26" applyNumberFormat="1" applyFont="1" applyFill="1" applyBorder="1" applyAlignment="1">
      <alignment horizontal="left"/>
      <protection/>
    </xf>
    <xf numFmtId="166" fontId="17" fillId="0" borderId="0" xfId="0" applyNumberFormat="1" applyFont="1" applyFill="1" applyAlignment="1">
      <alignment/>
    </xf>
    <xf numFmtId="166" fontId="17" fillId="0" borderId="0" xfId="0" applyNumberFormat="1" applyFont="1" applyFill="1" applyBorder="1" applyAlignment="1">
      <alignment/>
    </xf>
    <xf numFmtId="0" fontId="17" fillId="0" borderId="4" xfId="26" applyFont="1" applyFill="1" applyBorder="1" applyAlignment="1">
      <alignment horizontal="left"/>
      <protection/>
    </xf>
    <xf numFmtId="166" fontId="17" fillId="0" borderId="4" xfId="0" applyNumberFormat="1" applyFont="1" applyFill="1" applyBorder="1" applyAlignment="1">
      <alignment/>
    </xf>
    <xf numFmtId="168" fontId="20" fillId="0" borderId="0" xfId="19" applyNumberFormat="1" applyFont="1" applyFill="1" applyBorder="1" applyAlignment="1">
      <alignment horizontal="left"/>
      <protection/>
    </xf>
    <xf numFmtId="0" fontId="20" fillId="0" borderId="0" xfId="0" applyFont="1" applyFill="1" applyAlignment="1">
      <alignment horizontal="left"/>
    </xf>
    <xf numFmtId="0" fontId="20" fillId="0" borderId="0" xfId="23" applyFont="1" applyFill="1" applyBorder="1" applyAlignment="1">
      <alignment horizontal="left"/>
      <protection/>
    </xf>
    <xf numFmtId="0" fontId="18" fillId="0" borderId="0" xfId="0" applyFont="1" applyFill="1" applyBorder="1" applyAlignment="1">
      <alignment horizontal="right"/>
    </xf>
    <xf numFmtId="168" fontId="19" fillId="0" borderId="0" xfId="19" applyNumberFormat="1" applyFont="1" applyFill="1" applyBorder="1" applyAlignment="1">
      <alignment horizontal="left"/>
      <protection/>
    </xf>
    <xf numFmtId="49" fontId="2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3" fontId="17" fillId="0" borderId="0" xfId="20" applyNumberFormat="1" applyFont="1" applyFill="1" applyBorder="1" applyAlignment="1">
      <alignment horizontal="right" vertical="top"/>
      <protection/>
    </xf>
    <xf numFmtId="166" fontId="17" fillId="0" borderId="0" xfId="19" applyNumberFormat="1" applyFont="1" applyFill="1" applyBorder="1" applyAlignment="1">
      <alignment horizontal="right" vertical="top"/>
      <protection/>
    </xf>
    <xf numFmtId="0" fontId="0" fillId="0" borderId="0" xfId="0" applyFont="1" applyFill="1" applyBorder="1" applyAlignment="1">
      <alignment/>
    </xf>
    <xf numFmtId="167" fontId="17" fillId="0" borderId="0" xfId="0" applyNumberFormat="1" applyFont="1" applyFill="1" applyAlignment="1">
      <alignment horizontal="right" vertical="top"/>
    </xf>
    <xf numFmtId="0" fontId="17" fillId="0" borderId="4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15" fillId="0" borderId="0" xfId="28" applyNumberFormat="1" applyFont="1" applyFill="1" applyBorder="1" applyAlignment="1">
      <alignment horizontal="right" wrapText="1"/>
      <protection/>
    </xf>
    <xf numFmtId="0" fontId="15" fillId="0" borderId="0" xfId="28" applyFont="1" applyFill="1" applyBorder="1" applyAlignment="1">
      <alignment horizontal="left"/>
      <protection/>
    </xf>
    <xf numFmtId="3" fontId="15" fillId="0" borderId="0" xfId="20" applyNumberFormat="1" applyFont="1" applyFill="1" applyBorder="1" applyAlignment="1">
      <alignment horizontal="right"/>
      <protection/>
    </xf>
    <xf numFmtId="3" fontId="15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5" fillId="0" borderId="5" xfId="28" applyFont="1" applyFill="1" applyBorder="1" applyAlignment="1">
      <alignment horizontal="center" wrapText="1"/>
      <protection/>
    </xf>
    <xf numFmtId="49" fontId="15" fillId="0" borderId="5" xfId="28" applyNumberFormat="1" applyFont="1" applyFill="1" applyBorder="1" applyAlignment="1">
      <alignment horizontal="center"/>
      <protection/>
    </xf>
    <xf numFmtId="49" fontId="15" fillId="0" borderId="5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ont="1" applyFill="1" applyAlignment="1">
      <alignment horizontal="right"/>
    </xf>
    <xf numFmtId="3" fontId="17" fillId="0" borderId="0" xfId="0" applyNumberFormat="1" applyFont="1" applyFill="1" applyAlignment="1">
      <alignment horizontal="right"/>
    </xf>
    <xf numFmtId="167" fontId="17" fillId="0" borderId="0" xfId="29" applyNumberFormat="1" applyFont="1" applyFill="1" applyAlignment="1">
      <alignment/>
    </xf>
    <xf numFmtId="0" fontId="17" fillId="0" borderId="0" xfId="0" applyFont="1" applyFill="1" applyAlignment="1">
      <alignment horizontal="right"/>
    </xf>
    <xf numFmtId="166" fontId="17" fillId="0" borderId="0" xfId="0" applyNumberFormat="1" applyFont="1" applyFill="1" applyAlignment="1">
      <alignment horizontal="right"/>
    </xf>
    <xf numFmtId="167" fontId="17" fillId="0" borderId="4" xfId="0" applyNumberFormat="1" applyFont="1" applyFill="1" applyBorder="1" applyAlignment="1">
      <alignment/>
    </xf>
    <xf numFmtId="0" fontId="13" fillId="0" borderId="0" xfId="43" applyFont="1" applyFill="1" applyBorder="1" applyAlignment="1">
      <alignment horizontal="left" wrapText="1"/>
      <protection/>
    </xf>
    <xf numFmtId="0" fontId="0" fillId="0" borderId="0" xfId="0" applyFill="1" applyAlignment="1">
      <alignment wrapText="1"/>
    </xf>
    <xf numFmtId="0" fontId="14" fillId="0" borderId="6" xfId="23" applyFont="1" applyFill="1" applyBorder="1" applyAlignment="1">
      <alignment wrapText="1"/>
      <protection/>
    </xf>
    <xf numFmtId="0" fontId="0" fillId="0" borderId="6" xfId="0" applyFill="1" applyBorder="1" applyAlignment="1">
      <alignment wrapText="1"/>
    </xf>
    <xf numFmtId="0" fontId="20" fillId="0" borderId="0" xfId="23" applyFont="1" applyFill="1" applyBorder="1" applyAlignment="1">
      <alignment wrapText="1"/>
      <protection/>
    </xf>
    <xf numFmtId="168" fontId="14" fillId="0" borderId="0" xfId="19" applyNumberFormat="1" applyFont="1" applyFill="1" applyBorder="1" applyAlignment="1">
      <alignment wrapText="1"/>
      <protection/>
    </xf>
    <xf numFmtId="168" fontId="20" fillId="0" borderId="0" xfId="19" applyNumberFormat="1" applyFont="1" applyFill="1" applyBorder="1" applyAlignment="1">
      <alignment wrapText="1"/>
      <protection/>
    </xf>
    <xf numFmtId="0" fontId="0" fillId="0" borderId="0" xfId="0" applyFont="1" applyFill="1" applyAlignment="1">
      <alignment wrapText="1"/>
    </xf>
    <xf numFmtId="0" fontId="14" fillId="0" borderId="0" xfId="0" applyNumberFormat="1" applyFont="1" applyFill="1" applyAlignment="1">
      <alignment wrapText="1"/>
    </xf>
    <xf numFmtId="0" fontId="20" fillId="0" borderId="0" xfId="0" applyNumberFormat="1" applyFont="1" applyFill="1" applyAlignment="1">
      <alignment wrapText="1"/>
    </xf>
    <xf numFmtId="0" fontId="13" fillId="0" borderId="4" xfId="43" applyFont="1" applyFill="1" applyBorder="1" applyAlignment="1">
      <alignment horizontal="left" wrapText="1"/>
      <protection/>
    </xf>
    <xf numFmtId="0" fontId="20" fillId="0" borderId="0" xfId="0" applyNumberFormat="1" applyFont="1" applyFill="1" applyAlignment="1">
      <alignment horizontal="left" wrapText="1"/>
    </xf>
    <xf numFmtId="0" fontId="14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14" fillId="0" borderId="6" xfId="23" applyFont="1" applyFill="1" applyBorder="1" applyAlignment="1">
      <alignment horizontal="left" vertical="top" wrapText="1"/>
      <protection/>
    </xf>
    <xf numFmtId="0" fontId="0" fillId="0" borderId="6" xfId="0" applyFill="1" applyBorder="1" applyAlignment="1">
      <alignment horizontal="left" vertical="top" wrapText="1"/>
    </xf>
    <xf numFmtId="0" fontId="17" fillId="0" borderId="0" xfId="26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168" fontId="14" fillId="0" borderId="0" xfId="19" applyNumberFormat="1" applyFont="1" applyFill="1" applyBorder="1" applyAlignment="1">
      <alignment horizontal="left" wrapText="1"/>
      <protection/>
    </xf>
    <xf numFmtId="0" fontId="19" fillId="0" borderId="0" xfId="19" applyNumberFormat="1" applyFont="1" applyFill="1" applyBorder="1" applyAlignment="1">
      <alignment horizontal="left" wrapText="1"/>
      <protection/>
    </xf>
    <xf numFmtId="168" fontId="20" fillId="0" borderId="0" xfId="19" applyNumberFormat="1" applyFont="1" applyFill="1" applyBorder="1" applyAlignment="1">
      <alignment horizontal="left" wrapText="1"/>
      <protection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Hed Side" xfId="23"/>
    <cellStyle name="Hed Side bold" xfId="24"/>
    <cellStyle name="Hed Side Indent" xfId="25"/>
    <cellStyle name="Hed Side Regular" xfId="26"/>
    <cellStyle name="Hed Side_1-1A-Regular" xfId="27"/>
    <cellStyle name="Hed Top" xfId="28"/>
    <cellStyle name="Percent" xfId="29"/>
    <cellStyle name="Source Hed" xfId="30"/>
    <cellStyle name="Source Superscript" xfId="31"/>
    <cellStyle name="Source Text" xfId="32"/>
    <cellStyle name="State" xfId="33"/>
    <cellStyle name="Superscript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15.28125" style="30" customWidth="1"/>
    <col min="2" max="20" width="6.7109375" style="30" customWidth="1"/>
    <col min="21" max="16384" width="8.8515625" style="30" customWidth="1"/>
  </cols>
  <sheetData>
    <row r="1" spans="1:20" ht="30.75" customHeight="1">
      <c r="A1" s="48" t="s">
        <v>38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9"/>
      <c r="S1" s="49"/>
      <c r="T1" s="49"/>
    </row>
    <row r="2" spans="1:20" ht="13.5">
      <c r="A2" s="36"/>
      <c r="B2" s="37" t="s">
        <v>14</v>
      </c>
      <c r="C2" s="37" t="s">
        <v>32</v>
      </c>
      <c r="D2" s="37" t="s">
        <v>15</v>
      </c>
      <c r="E2" s="37" t="s">
        <v>16</v>
      </c>
      <c r="F2" s="37" t="s">
        <v>17</v>
      </c>
      <c r="G2" s="37" t="s">
        <v>18</v>
      </c>
      <c r="H2" s="37" t="s">
        <v>19</v>
      </c>
      <c r="I2" s="37" t="s">
        <v>20</v>
      </c>
      <c r="J2" s="37" t="s">
        <v>33</v>
      </c>
      <c r="K2" s="37" t="s">
        <v>21</v>
      </c>
      <c r="L2" s="37" t="s">
        <v>22</v>
      </c>
      <c r="M2" s="38" t="s">
        <v>23</v>
      </c>
      <c r="N2" s="38" t="s">
        <v>24</v>
      </c>
      <c r="O2" s="38" t="s">
        <v>25</v>
      </c>
      <c r="P2" s="38" t="s">
        <v>34</v>
      </c>
      <c r="Q2" s="38" t="s">
        <v>35</v>
      </c>
      <c r="R2" s="37" t="s">
        <v>40</v>
      </c>
      <c r="S2" s="37" t="s">
        <v>41</v>
      </c>
      <c r="T2" s="38" t="s">
        <v>42</v>
      </c>
    </row>
    <row r="3" spans="1:20" ht="13.5">
      <c r="A3" s="32" t="s">
        <v>50</v>
      </c>
      <c r="B3" s="42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0" ht="13.5">
      <c r="A4" s="10" t="s">
        <v>31</v>
      </c>
      <c r="B4" s="34">
        <v>9443</v>
      </c>
      <c r="C4" s="34">
        <v>10791</v>
      </c>
      <c r="D4" s="34">
        <v>8810</v>
      </c>
      <c r="E4" s="34">
        <f aca="true" t="shared" si="0" ref="E4:S4">SUM(E5:E10)</f>
        <v>8523</v>
      </c>
      <c r="F4" s="34">
        <f t="shared" si="0"/>
        <v>8107</v>
      </c>
      <c r="G4" s="34">
        <f t="shared" si="0"/>
        <v>8456</v>
      </c>
      <c r="H4" s="34">
        <f t="shared" si="0"/>
        <v>8414</v>
      </c>
      <c r="I4" s="34">
        <v>9396</v>
      </c>
      <c r="J4" s="34">
        <f t="shared" si="0"/>
        <v>7890</v>
      </c>
      <c r="K4" s="34">
        <f t="shared" si="0"/>
        <v>8335</v>
      </c>
      <c r="L4" s="34">
        <f t="shared" si="0"/>
        <v>7972</v>
      </c>
      <c r="M4" s="34">
        <f t="shared" si="0"/>
        <v>8378</v>
      </c>
      <c r="N4" s="34">
        <v>9128</v>
      </c>
      <c r="O4" s="34">
        <f t="shared" si="0"/>
        <v>8409</v>
      </c>
      <c r="P4" s="34">
        <f t="shared" si="0"/>
        <v>8305</v>
      </c>
      <c r="Q4" s="34">
        <f t="shared" si="0"/>
        <v>7952</v>
      </c>
      <c r="R4" s="34">
        <f t="shared" si="0"/>
        <v>8147</v>
      </c>
      <c r="S4" s="34">
        <f t="shared" si="0"/>
        <v>7976</v>
      </c>
      <c r="T4" s="34">
        <v>8265</v>
      </c>
    </row>
    <row r="5" spans="1:20" ht="13.5">
      <c r="A5" s="2" t="s">
        <v>43</v>
      </c>
      <c r="B5" s="43">
        <v>4825</v>
      </c>
      <c r="C5" s="43">
        <v>5519</v>
      </c>
      <c r="D5" s="3">
        <v>4999</v>
      </c>
      <c r="E5" s="3">
        <v>5032</v>
      </c>
      <c r="F5" s="3">
        <v>4440</v>
      </c>
      <c r="G5" s="3">
        <v>4537</v>
      </c>
      <c r="H5" s="3">
        <v>4720</v>
      </c>
      <c r="I5" s="3">
        <v>5190</v>
      </c>
      <c r="J5" s="3">
        <v>4197</v>
      </c>
      <c r="K5" s="3">
        <v>4443</v>
      </c>
      <c r="L5" s="3">
        <v>3839</v>
      </c>
      <c r="M5" s="3">
        <v>3919</v>
      </c>
      <c r="N5" s="3">
        <v>4266</v>
      </c>
      <c r="O5" s="3">
        <v>4065</v>
      </c>
      <c r="P5" s="3">
        <v>3802</v>
      </c>
      <c r="Q5" s="3">
        <v>3699</v>
      </c>
      <c r="R5" s="3">
        <v>3213</v>
      </c>
      <c r="S5" s="3">
        <v>3178</v>
      </c>
      <c r="T5" s="3">
        <v>3225</v>
      </c>
    </row>
    <row r="6" spans="1:20" ht="13.5">
      <c r="A6" s="2" t="s">
        <v>44</v>
      </c>
      <c r="B6" s="43">
        <v>2987</v>
      </c>
      <c r="C6" s="43">
        <v>2777</v>
      </c>
      <c r="D6" s="3">
        <v>2342</v>
      </c>
      <c r="E6" s="3">
        <v>2114</v>
      </c>
      <c r="F6" s="3">
        <v>2120</v>
      </c>
      <c r="G6" s="3">
        <v>2330</v>
      </c>
      <c r="H6" s="3">
        <v>2057</v>
      </c>
      <c r="I6" s="3">
        <v>2515</v>
      </c>
      <c r="J6" s="3">
        <v>2359</v>
      </c>
      <c r="K6" s="3">
        <v>2399</v>
      </c>
      <c r="L6" s="3">
        <v>2968</v>
      </c>
      <c r="M6" s="3">
        <v>3141</v>
      </c>
      <c r="N6" s="3">
        <v>2894</v>
      </c>
      <c r="O6" s="3">
        <v>2480</v>
      </c>
      <c r="P6" s="3">
        <v>2807</v>
      </c>
      <c r="Q6" s="3">
        <v>2483</v>
      </c>
      <c r="R6" s="3">
        <v>2963</v>
      </c>
      <c r="S6" s="3">
        <v>2763</v>
      </c>
      <c r="T6" s="4">
        <v>2625</v>
      </c>
    </row>
    <row r="7" spans="1:20" ht="13.5">
      <c r="A7" s="2" t="s">
        <v>45</v>
      </c>
      <c r="B7" s="43">
        <v>963</v>
      </c>
      <c r="C7" s="43">
        <v>1512</v>
      </c>
      <c r="D7" s="3">
        <v>1092</v>
      </c>
      <c r="E7" s="3">
        <v>1012</v>
      </c>
      <c r="F7" s="3">
        <v>1240</v>
      </c>
      <c r="G7" s="3">
        <v>1103</v>
      </c>
      <c r="H7" s="3">
        <v>1277</v>
      </c>
      <c r="I7" s="3">
        <v>1306</v>
      </c>
      <c r="J7" s="3">
        <v>1066</v>
      </c>
      <c r="K7" s="3">
        <v>1195</v>
      </c>
      <c r="L7" s="3">
        <v>913</v>
      </c>
      <c r="M7" s="3">
        <v>1059</v>
      </c>
      <c r="N7" s="3">
        <v>1665</v>
      </c>
      <c r="O7" s="3">
        <v>1416</v>
      </c>
      <c r="P7" s="3">
        <v>1252</v>
      </c>
      <c r="Q7" s="3">
        <v>1261</v>
      </c>
      <c r="R7" s="3">
        <v>1278</v>
      </c>
      <c r="S7" s="3">
        <v>1343</v>
      </c>
      <c r="T7" s="4">
        <v>1628</v>
      </c>
    </row>
    <row r="8" spans="1:20" ht="13.5">
      <c r="A8" s="2" t="s">
        <v>46</v>
      </c>
      <c r="B8" s="43">
        <v>310</v>
      </c>
      <c r="C8" s="43">
        <v>496</v>
      </c>
      <c r="D8" s="3">
        <v>160</v>
      </c>
      <c r="E8" s="3">
        <v>209</v>
      </c>
      <c r="F8" s="3">
        <v>143</v>
      </c>
      <c r="G8" s="3">
        <v>301</v>
      </c>
      <c r="H8" s="3">
        <v>206</v>
      </c>
      <c r="I8" s="3">
        <v>198</v>
      </c>
      <c r="J8" s="3">
        <v>90</v>
      </c>
      <c r="K8" s="3">
        <v>149</v>
      </c>
      <c r="L8" s="3">
        <v>99</v>
      </c>
      <c r="M8" s="3">
        <v>78</v>
      </c>
      <c r="N8" s="3">
        <v>68</v>
      </c>
      <c r="O8" s="3">
        <v>212</v>
      </c>
      <c r="P8" s="3">
        <v>236</v>
      </c>
      <c r="Q8" s="3">
        <v>338</v>
      </c>
      <c r="R8" s="3">
        <v>380</v>
      </c>
      <c r="S8" s="3">
        <v>353</v>
      </c>
      <c r="T8" s="4">
        <v>452</v>
      </c>
    </row>
    <row r="9" spans="1:20" ht="13.5">
      <c r="A9" s="2" t="s">
        <v>47</v>
      </c>
      <c r="B9" s="43">
        <v>257</v>
      </c>
      <c r="C9" s="43">
        <v>341</v>
      </c>
      <c r="D9" s="3">
        <v>184</v>
      </c>
      <c r="E9" s="3">
        <v>122</v>
      </c>
      <c r="F9" s="3">
        <v>137</v>
      </c>
      <c r="G9" s="3">
        <v>166</v>
      </c>
      <c r="H9" s="3">
        <v>138</v>
      </c>
      <c r="I9" s="3">
        <v>176</v>
      </c>
      <c r="J9" s="3">
        <v>169</v>
      </c>
      <c r="K9" s="3">
        <v>149</v>
      </c>
      <c r="L9" s="3">
        <v>153</v>
      </c>
      <c r="M9" s="3">
        <v>181</v>
      </c>
      <c r="N9" s="3">
        <v>234</v>
      </c>
      <c r="O9" s="3">
        <v>236</v>
      </c>
      <c r="P9" s="3">
        <v>208</v>
      </c>
      <c r="Q9" s="3">
        <v>171</v>
      </c>
      <c r="R9" s="3">
        <v>230</v>
      </c>
      <c r="S9" s="3">
        <v>239</v>
      </c>
      <c r="T9" s="4">
        <v>229</v>
      </c>
    </row>
    <row r="10" spans="1:20" ht="13.5">
      <c r="A10" s="2" t="s">
        <v>48</v>
      </c>
      <c r="B10" s="43">
        <v>102</v>
      </c>
      <c r="C10" s="43">
        <v>145</v>
      </c>
      <c r="D10" s="3">
        <v>31</v>
      </c>
      <c r="E10" s="3">
        <v>34</v>
      </c>
      <c r="F10" s="3">
        <v>27</v>
      </c>
      <c r="G10" s="3">
        <v>19</v>
      </c>
      <c r="H10" s="3">
        <v>16</v>
      </c>
      <c r="I10" s="3">
        <v>10</v>
      </c>
      <c r="J10" s="3">
        <v>9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83</v>
      </c>
      <c r="S10" s="3">
        <v>100</v>
      </c>
      <c r="T10" s="4">
        <v>105</v>
      </c>
    </row>
    <row r="11" spans="1:20" ht="13.5">
      <c r="A11" s="11" t="s">
        <v>29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3"/>
      <c r="Q11" s="1"/>
      <c r="R11" s="1"/>
      <c r="S11" s="1"/>
      <c r="T11" s="1"/>
    </row>
    <row r="12" spans="1:20" ht="13.5">
      <c r="A12" s="2" t="s">
        <v>43</v>
      </c>
      <c r="B12" s="5">
        <v>51.1</v>
      </c>
      <c r="C12" s="5">
        <v>51.1</v>
      </c>
      <c r="D12" s="44">
        <f aca="true" t="shared" si="1" ref="D12:T12">D5/D4*100</f>
        <v>56.74233825198638</v>
      </c>
      <c r="E12" s="44">
        <f t="shared" si="1"/>
        <v>59.040244045523885</v>
      </c>
      <c r="F12" s="44">
        <f t="shared" si="1"/>
        <v>54.76748488960158</v>
      </c>
      <c r="G12" s="44">
        <f t="shared" si="1"/>
        <v>53.65421002838221</v>
      </c>
      <c r="H12" s="44">
        <f t="shared" si="1"/>
        <v>56.096981221773234</v>
      </c>
      <c r="I12" s="44">
        <f t="shared" si="1"/>
        <v>55.23627075351213</v>
      </c>
      <c r="J12" s="44">
        <f t="shared" si="1"/>
        <v>53.19391634980989</v>
      </c>
      <c r="K12" s="44">
        <f t="shared" si="1"/>
        <v>53.30533893221355</v>
      </c>
      <c r="L12" s="44">
        <f t="shared" si="1"/>
        <v>48.15604616156548</v>
      </c>
      <c r="M12" s="44">
        <f t="shared" si="1"/>
        <v>46.77727381236572</v>
      </c>
      <c r="N12" s="44">
        <f t="shared" si="1"/>
        <v>46.7353198948291</v>
      </c>
      <c r="O12" s="44">
        <f t="shared" si="1"/>
        <v>48.34106314662861</v>
      </c>
      <c r="P12" s="44">
        <f t="shared" si="1"/>
        <v>45.77965081276339</v>
      </c>
      <c r="Q12" s="44">
        <f t="shared" si="1"/>
        <v>46.51659959758551</v>
      </c>
      <c r="R12" s="44">
        <f t="shared" si="1"/>
        <v>39.43782987602798</v>
      </c>
      <c r="S12" s="44">
        <f t="shared" si="1"/>
        <v>39.84453360080241</v>
      </c>
      <c r="T12" s="44">
        <f t="shared" si="1"/>
        <v>39.01996370235935</v>
      </c>
    </row>
    <row r="13" spans="1:20" ht="13.5">
      <c r="A13" s="2" t="s">
        <v>44</v>
      </c>
      <c r="B13" s="5">
        <v>31.6</v>
      </c>
      <c r="C13" s="5">
        <v>25.7</v>
      </c>
      <c r="D13" s="5">
        <f aca="true" t="shared" si="2" ref="D13:T13">D6/D4*100</f>
        <v>26.583427922814984</v>
      </c>
      <c r="E13" s="5">
        <f t="shared" si="2"/>
        <v>24.80347295553209</v>
      </c>
      <c r="F13" s="5">
        <f t="shared" si="2"/>
        <v>26.150240532872825</v>
      </c>
      <c r="G13" s="5">
        <f t="shared" si="2"/>
        <v>27.554399243140963</v>
      </c>
      <c r="H13" s="5">
        <f t="shared" si="2"/>
        <v>24.447349655336346</v>
      </c>
      <c r="I13" s="5">
        <f t="shared" si="2"/>
        <v>26.766709237973608</v>
      </c>
      <c r="J13" s="5">
        <f t="shared" si="2"/>
        <v>29.898605830164765</v>
      </c>
      <c r="K13" s="5">
        <f t="shared" si="2"/>
        <v>28.782243551289742</v>
      </c>
      <c r="L13" s="5">
        <f t="shared" si="2"/>
        <v>37.23030607124937</v>
      </c>
      <c r="M13" s="5">
        <f t="shared" si="2"/>
        <v>37.49104798281213</v>
      </c>
      <c r="N13" s="5">
        <f t="shared" si="2"/>
        <v>31.70464504820333</v>
      </c>
      <c r="O13" s="5">
        <f t="shared" si="2"/>
        <v>29.49221072660245</v>
      </c>
      <c r="P13" s="5">
        <f t="shared" si="2"/>
        <v>33.7989163154726</v>
      </c>
      <c r="Q13" s="5">
        <f t="shared" si="2"/>
        <v>31.224849094567404</v>
      </c>
      <c r="R13" s="5">
        <f t="shared" si="2"/>
        <v>36.36921566220695</v>
      </c>
      <c r="S13" s="5">
        <f t="shared" si="2"/>
        <v>34.641424272818455</v>
      </c>
      <c r="T13" s="5">
        <f t="shared" si="2"/>
        <v>31.76043557168784</v>
      </c>
    </row>
    <row r="14" spans="1:20" ht="13.5">
      <c r="A14" s="2" t="s">
        <v>45</v>
      </c>
      <c r="B14" s="5">
        <v>10.2</v>
      </c>
      <c r="C14" s="5">
        <v>14</v>
      </c>
      <c r="D14" s="5">
        <f aca="true" t="shared" si="3" ref="D14:T14">D7/D4*100</f>
        <v>12.3950056753689</v>
      </c>
      <c r="E14" s="5">
        <f t="shared" si="3"/>
        <v>11.87375337322539</v>
      </c>
      <c r="F14" s="5">
        <f t="shared" si="3"/>
        <v>15.295423707906746</v>
      </c>
      <c r="G14" s="5">
        <f t="shared" si="3"/>
        <v>13.04399243140965</v>
      </c>
      <c r="H14" s="5">
        <f t="shared" si="3"/>
        <v>15.177085809365343</v>
      </c>
      <c r="I14" s="5">
        <f t="shared" si="3"/>
        <v>13.89953171562367</v>
      </c>
      <c r="J14" s="5">
        <f t="shared" si="3"/>
        <v>13.510773130544992</v>
      </c>
      <c r="K14" s="5">
        <f t="shared" si="3"/>
        <v>14.337132573485304</v>
      </c>
      <c r="L14" s="5">
        <f t="shared" si="3"/>
        <v>11.452584044154541</v>
      </c>
      <c r="M14" s="5">
        <f t="shared" si="3"/>
        <v>12.640248269276677</v>
      </c>
      <c r="N14" s="5">
        <f t="shared" si="3"/>
        <v>18.240578439964946</v>
      </c>
      <c r="O14" s="5">
        <f t="shared" si="3"/>
        <v>16.839100963253657</v>
      </c>
      <c r="P14" s="5">
        <f t="shared" si="3"/>
        <v>15.075255869957857</v>
      </c>
      <c r="Q14" s="5">
        <f t="shared" si="3"/>
        <v>15.857645875251508</v>
      </c>
      <c r="R14" s="5">
        <f t="shared" si="3"/>
        <v>15.686755861053147</v>
      </c>
      <c r="S14" s="5">
        <f t="shared" si="3"/>
        <v>16.838014042126378</v>
      </c>
      <c r="T14" s="5">
        <f t="shared" si="3"/>
        <v>19.69751966122202</v>
      </c>
    </row>
    <row r="15" spans="1:20" ht="13.5">
      <c r="A15" s="2" t="s">
        <v>46</v>
      </c>
      <c r="B15" s="5">
        <v>3.3</v>
      </c>
      <c r="C15" s="5">
        <v>4.6</v>
      </c>
      <c r="D15" s="5">
        <f aca="true" t="shared" si="4" ref="D15:T15">D8/D4*100</f>
        <v>1.8161180476730987</v>
      </c>
      <c r="E15" s="5">
        <f t="shared" si="4"/>
        <v>2.452188196644374</v>
      </c>
      <c r="F15" s="5">
        <f t="shared" si="4"/>
        <v>1.7639077340569878</v>
      </c>
      <c r="G15" s="5">
        <f t="shared" si="4"/>
        <v>3.5596026490066226</v>
      </c>
      <c r="H15" s="5">
        <f t="shared" si="4"/>
        <v>2.448300451628239</v>
      </c>
      <c r="I15" s="5">
        <f t="shared" si="4"/>
        <v>2.10727969348659</v>
      </c>
      <c r="J15" s="5">
        <f t="shared" si="4"/>
        <v>1.1406844106463878</v>
      </c>
      <c r="K15" s="5">
        <f t="shared" si="4"/>
        <v>1.7876424715056989</v>
      </c>
      <c r="L15" s="5">
        <f t="shared" si="4"/>
        <v>1.241846462619167</v>
      </c>
      <c r="M15" s="5">
        <f t="shared" si="4"/>
        <v>0.931009787538792</v>
      </c>
      <c r="N15" s="5">
        <f t="shared" si="4"/>
        <v>0.7449605609114811</v>
      </c>
      <c r="O15" s="5">
        <f t="shared" si="4"/>
        <v>2.5211083363063382</v>
      </c>
      <c r="P15" s="5">
        <f t="shared" si="4"/>
        <v>2.8416616496086693</v>
      </c>
      <c r="Q15" s="5">
        <f t="shared" si="4"/>
        <v>4.250503018108652</v>
      </c>
      <c r="R15" s="5">
        <f t="shared" si="4"/>
        <v>4.664293605007979</v>
      </c>
      <c r="S15" s="5">
        <f t="shared" si="4"/>
        <v>4.425777331995988</v>
      </c>
      <c r="T15" s="5">
        <f t="shared" si="4"/>
        <v>5.468844525105868</v>
      </c>
    </row>
    <row r="16" spans="1:20" ht="13.5">
      <c r="A16" s="2" t="s">
        <v>47</v>
      </c>
      <c r="B16" s="5">
        <v>2.7</v>
      </c>
      <c r="C16" s="5">
        <v>3.2</v>
      </c>
      <c r="D16" s="5">
        <f aca="true" t="shared" si="5" ref="D16:T16">D9/D4*100</f>
        <v>2.0885357548240635</v>
      </c>
      <c r="E16" s="5">
        <f t="shared" si="5"/>
        <v>1.4314208611991084</v>
      </c>
      <c r="F16" s="5">
        <f t="shared" si="5"/>
        <v>1.68989761934131</v>
      </c>
      <c r="G16" s="5">
        <f t="shared" si="5"/>
        <v>1.9631031220435196</v>
      </c>
      <c r="H16" s="5">
        <f t="shared" si="5"/>
        <v>1.6401236035179463</v>
      </c>
      <c r="I16" s="5">
        <f t="shared" si="5"/>
        <v>1.8731375053214132</v>
      </c>
      <c r="J16" s="5">
        <f t="shared" si="5"/>
        <v>2.1419518377693283</v>
      </c>
      <c r="K16" s="5">
        <f t="shared" si="5"/>
        <v>1.7876424715056989</v>
      </c>
      <c r="L16" s="5">
        <f t="shared" si="5"/>
        <v>1.9192172604114401</v>
      </c>
      <c r="M16" s="5">
        <f t="shared" si="5"/>
        <v>2.160420148006684</v>
      </c>
      <c r="N16" s="5">
        <f t="shared" si="5"/>
        <v>2.563540753724803</v>
      </c>
      <c r="O16" s="5">
        <f t="shared" si="5"/>
        <v>2.806516827208943</v>
      </c>
      <c r="P16" s="5">
        <f t="shared" si="5"/>
        <v>2.5045153521974712</v>
      </c>
      <c r="Q16" s="5">
        <f t="shared" si="5"/>
        <v>2.1504024144869214</v>
      </c>
      <c r="R16" s="5">
        <f t="shared" si="5"/>
        <v>2.823125076715355</v>
      </c>
      <c r="S16" s="5">
        <f t="shared" si="5"/>
        <v>2.996489468405216</v>
      </c>
      <c r="T16" s="5">
        <f t="shared" si="5"/>
        <v>2.7707199032062917</v>
      </c>
    </row>
    <row r="17" spans="1:20" ht="13.5">
      <c r="A17" s="2" t="s">
        <v>48</v>
      </c>
      <c r="B17" s="5">
        <v>1.1</v>
      </c>
      <c r="C17" s="5">
        <v>1.3</v>
      </c>
      <c r="D17" s="5">
        <f aca="true" t="shared" si="6" ref="D17:T17">D10/D4*100</f>
        <v>0.3518728717366629</v>
      </c>
      <c r="E17" s="5">
        <f t="shared" si="6"/>
        <v>0.3989205678751613</v>
      </c>
      <c r="F17" s="5">
        <f t="shared" si="6"/>
        <v>0.3330455162205502</v>
      </c>
      <c r="G17" s="5">
        <f t="shared" si="6"/>
        <v>0.22469252601702933</v>
      </c>
      <c r="H17" s="5">
        <f t="shared" si="6"/>
        <v>0.1901592583788923</v>
      </c>
      <c r="I17" s="5">
        <f t="shared" si="6"/>
        <v>0.10642826734780758</v>
      </c>
      <c r="J17" s="5">
        <f t="shared" si="6"/>
        <v>0.11406844106463879</v>
      </c>
      <c r="K17" s="5">
        <f t="shared" si="6"/>
        <v>0</v>
      </c>
      <c r="L17" s="5">
        <f t="shared" si="6"/>
        <v>0</v>
      </c>
      <c r="M17" s="5">
        <f t="shared" si="6"/>
        <v>0</v>
      </c>
      <c r="N17" s="5">
        <f t="shared" si="6"/>
        <v>0</v>
      </c>
      <c r="O17" s="5">
        <f t="shared" si="6"/>
        <v>0</v>
      </c>
      <c r="P17" s="5">
        <f t="shared" si="6"/>
        <v>0</v>
      </c>
      <c r="Q17" s="5">
        <f t="shared" si="6"/>
        <v>0</v>
      </c>
      <c r="R17" s="5">
        <f t="shared" si="6"/>
        <v>1.0187799189885847</v>
      </c>
      <c r="S17" s="5">
        <f t="shared" si="6"/>
        <v>1.2537612838515546</v>
      </c>
      <c r="T17" s="5">
        <f t="shared" si="6"/>
        <v>1.2704174228675136</v>
      </c>
    </row>
    <row r="18" spans="1:20" ht="13.5">
      <c r="A18" s="10" t="s">
        <v>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"/>
      <c r="M18" s="1"/>
      <c r="N18" s="13"/>
      <c r="O18" s="13"/>
      <c r="P18" s="13"/>
      <c r="Q18" s="13"/>
      <c r="R18" s="9"/>
      <c r="S18" s="1"/>
      <c r="T18" s="1"/>
    </row>
    <row r="19" spans="1:20" ht="13.5">
      <c r="A19" s="2" t="s">
        <v>0</v>
      </c>
      <c r="B19" s="5">
        <f aca="true" t="shared" si="7" ref="B19:T19">B20*B12/100+B21*B13/100+B22*B14/100+B23*B15/100+B24*B16/100+B17*B25/100</f>
        <v>23.834500000000002</v>
      </c>
      <c r="C19" s="5">
        <f t="shared" si="7"/>
        <v>27.3222</v>
      </c>
      <c r="D19" s="5">
        <f t="shared" si="7"/>
        <v>27.966685584563</v>
      </c>
      <c r="E19" s="5">
        <f t="shared" si="7"/>
        <v>28.187609996480116</v>
      </c>
      <c r="F19" s="5">
        <f t="shared" si="7"/>
        <v>27.880029604045887</v>
      </c>
      <c r="G19" s="5">
        <f t="shared" si="7"/>
        <v>28.442951750236517</v>
      </c>
      <c r="H19" s="5">
        <f t="shared" si="7"/>
        <v>28.324387924887095</v>
      </c>
      <c r="I19" s="5">
        <f t="shared" si="7"/>
        <v>28.577320136228177</v>
      </c>
      <c r="J19" s="5">
        <f t="shared" si="7"/>
        <v>28.543764258555136</v>
      </c>
      <c r="K19" s="5">
        <f t="shared" si="7"/>
        <v>28.657012597480502</v>
      </c>
      <c r="L19" s="5">
        <f t="shared" si="7"/>
        <v>28.688434520822877</v>
      </c>
      <c r="M19" s="5">
        <f t="shared" si="7"/>
        <v>28.329828121269994</v>
      </c>
      <c r="N19" s="5">
        <f t="shared" si="7"/>
        <v>28.308019281332164</v>
      </c>
      <c r="O19" s="5">
        <f t="shared" si="7"/>
        <v>28.57451540016649</v>
      </c>
      <c r="P19" s="5">
        <f t="shared" si="7"/>
        <v>28.764130042143286</v>
      </c>
      <c r="Q19" s="5">
        <f t="shared" si="7"/>
        <v>29.062261066398396</v>
      </c>
      <c r="R19" s="5">
        <f t="shared" si="7"/>
        <v>29.1470234442126</v>
      </c>
      <c r="S19" s="5">
        <f t="shared" si="7"/>
        <v>29.410644433299897</v>
      </c>
      <c r="T19" s="5">
        <f t="shared" si="7"/>
        <v>28.99421657592256</v>
      </c>
    </row>
    <row r="20" spans="1:20" ht="13.5">
      <c r="A20" s="2" t="s">
        <v>43</v>
      </c>
      <c r="B20" s="45">
        <v>26.1</v>
      </c>
      <c r="C20" s="45">
        <v>29.8</v>
      </c>
      <c r="D20" s="6">
        <v>29.8</v>
      </c>
      <c r="E20" s="6">
        <v>30</v>
      </c>
      <c r="F20" s="6">
        <v>30</v>
      </c>
      <c r="G20" s="6">
        <v>30.5</v>
      </c>
      <c r="H20" s="6">
        <v>30.4</v>
      </c>
      <c r="I20" s="1">
        <v>30.7</v>
      </c>
      <c r="J20" s="6">
        <v>30.8</v>
      </c>
      <c r="K20" s="6">
        <v>30.9</v>
      </c>
      <c r="L20" s="6">
        <v>30.9</v>
      </c>
      <c r="M20" s="6">
        <v>30.3</v>
      </c>
      <c r="N20" s="6">
        <v>30.3</v>
      </c>
      <c r="O20" s="6">
        <v>30.7</v>
      </c>
      <c r="P20" s="6">
        <v>30.7</v>
      </c>
      <c r="Q20" s="6">
        <v>30.6</v>
      </c>
      <c r="R20" s="6">
        <v>30.7</v>
      </c>
      <c r="S20" s="6">
        <v>30.8</v>
      </c>
      <c r="T20" s="1">
        <v>30.3</v>
      </c>
    </row>
    <row r="21" spans="1:20" ht="13.5">
      <c r="A21" s="2" t="s">
        <v>44</v>
      </c>
      <c r="B21" s="45">
        <v>21.6</v>
      </c>
      <c r="C21" s="45">
        <v>24.9</v>
      </c>
      <c r="D21" s="6">
        <v>26.2</v>
      </c>
      <c r="E21" s="6">
        <v>26</v>
      </c>
      <c r="F21" s="6">
        <v>25.8</v>
      </c>
      <c r="G21" s="6">
        <v>26.1</v>
      </c>
      <c r="H21" s="6">
        <v>25.9</v>
      </c>
      <c r="I21" s="1">
        <v>26.1</v>
      </c>
      <c r="J21" s="6">
        <v>26.5</v>
      </c>
      <c r="K21" s="6">
        <v>26.5</v>
      </c>
      <c r="L21" s="6">
        <v>27.1</v>
      </c>
      <c r="M21" s="6">
        <v>27.1</v>
      </c>
      <c r="N21" s="6">
        <v>27</v>
      </c>
      <c r="O21" s="6">
        <v>27.2</v>
      </c>
      <c r="P21" s="6">
        <v>27.7</v>
      </c>
      <c r="Q21" s="6">
        <v>28.3</v>
      </c>
      <c r="R21" s="6">
        <v>28.8</v>
      </c>
      <c r="S21" s="6">
        <v>29.4</v>
      </c>
      <c r="T21" s="1">
        <v>29.3</v>
      </c>
    </row>
    <row r="22" spans="1:20" ht="13.5">
      <c r="A22" s="2" t="s">
        <v>45</v>
      </c>
      <c r="B22" s="45">
        <v>19.1</v>
      </c>
      <c r="C22" s="45">
        <v>22.3</v>
      </c>
      <c r="D22" s="6">
        <v>23.7</v>
      </c>
      <c r="E22" s="6">
        <v>23.6</v>
      </c>
      <c r="F22" s="6">
        <v>23.8</v>
      </c>
      <c r="G22" s="6">
        <v>24.2</v>
      </c>
      <c r="H22" s="6">
        <v>24.1</v>
      </c>
      <c r="I22" s="1">
        <v>24.5</v>
      </c>
      <c r="J22" s="6">
        <v>24.3</v>
      </c>
      <c r="K22" s="6">
        <v>24.5</v>
      </c>
      <c r="L22" s="6">
        <v>24.6</v>
      </c>
      <c r="M22" s="6">
        <v>24.8</v>
      </c>
      <c r="N22" s="6">
        <v>25.6</v>
      </c>
      <c r="O22" s="6">
        <v>25.4</v>
      </c>
      <c r="P22" s="6">
        <v>26</v>
      </c>
      <c r="Q22" s="6">
        <v>26</v>
      </c>
      <c r="R22" s="6">
        <v>25.8</v>
      </c>
      <c r="S22" s="6">
        <v>26.2</v>
      </c>
      <c r="T22" s="1">
        <v>25.7</v>
      </c>
    </row>
    <row r="23" spans="1:20" ht="13.5">
      <c r="A23" s="2" t="s">
        <v>46</v>
      </c>
      <c r="B23" s="43">
        <v>28.6</v>
      </c>
      <c r="C23" s="46">
        <v>32.5</v>
      </c>
      <c r="D23" s="6">
        <v>29.6</v>
      </c>
      <c r="E23" s="6">
        <v>30.6</v>
      </c>
      <c r="F23" s="6">
        <v>30.2</v>
      </c>
      <c r="G23" s="6">
        <v>32.5</v>
      </c>
      <c r="H23" s="6">
        <v>32.9</v>
      </c>
      <c r="I23" s="13">
        <v>33.3</v>
      </c>
      <c r="J23" s="6">
        <v>31.6</v>
      </c>
      <c r="K23" s="6">
        <v>32.2</v>
      </c>
      <c r="L23" s="6">
        <v>32.1</v>
      </c>
      <c r="M23" s="6">
        <v>31.5</v>
      </c>
      <c r="N23" s="6">
        <v>29.2</v>
      </c>
      <c r="O23" s="6">
        <v>27.3</v>
      </c>
      <c r="P23" s="6">
        <v>26.1</v>
      </c>
      <c r="Q23" s="6">
        <v>30.2</v>
      </c>
      <c r="R23" s="6">
        <v>31.5</v>
      </c>
      <c r="S23" s="6">
        <v>31.9</v>
      </c>
      <c r="T23" s="13">
        <v>31.6</v>
      </c>
    </row>
    <row r="24" spans="1:20" ht="13.5">
      <c r="A24" s="2" t="s">
        <v>47</v>
      </c>
      <c r="B24" s="43">
        <v>21.1</v>
      </c>
      <c r="C24" s="46">
        <v>25.2</v>
      </c>
      <c r="D24" s="6">
        <v>25.3</v>
      </c>
      <c r="E24" s="6">
        <v>25.9</v>
      </c>
      <c r="F24" s="6">
        <v>26.2</v>
      </c>
      <c r="G24" s="6">
        <v>26.2</v>
      </c>
      <c r="H24" s="6">
        <v>26</v>
      </c>
      <c r="I24" s="13">
        <v>26.6</v>
      </c>
      <c r="J24" s="6">
        <v>26.3</v>
      </c>
      <c r="K24" s="6">
        <v>26.3</v>
      </c>
      <c r="L24" s="6">
        <v>26.2</v>
      </c>
      <c r="M24" s="6">
        <v>26.3</v>
      </c>
      <c r="N24" s="6">
        <v>27.3</v>
      </c>
      <c r="O24" s="6">
        <v>26.6</v>
      </c>
      <c r="P24" s="6">
        <v>27.4</v>
      </c>
      <c r="Q24" s="6">
        <v>27.2</v>
      </c>
      <c r="R24" s="6">
        <v>27.3</v>
      </c>
      <c r="S24" s="6">
        <v>26.6</v>
      </c>
      <c r="T24" s="13">
        <v>26.6</v>
      </c>
    </row>
    <row r="25" spans="1:20" ht="14.25" thickBot="1">
      <c r="A25" s="2" t="s">
        <v>48</v>
      </c>
      <c r="B25" s="43">
        <v>19.1</v>
      </c>
      <c r="C25" s="46">
        <v>20.9</v>
      </c>
      <c r="D25" s="6">
        <v>25.3</v>
      </c>
      <c r="E25" s="6">
        <v>25.9</v>
      </c>
      <c r="F25" s="6">
        <v>26.2</v>
      </c>
      <c r="G25" s="47">
        <v>26.2</v>
      </c>
      <c r="H25" s="47">
        <v>26</v>
      </c>
      <c r="I25" s="16">
        <v>26.6</v>
      </c>
      <c r="J25" s="47">
        <v>26.3</v>
      </c>
      <c r="K25" s="47">
        <v>26.3</v>
      </c>
      <c r="L25" s="47">
        <v>26.2</v>
      </c>
      <c r="M25" s="47">
        <v>26.3</v>
      </c>
      <c r="N25" s="47">
        <v>27.3</v>
      </c>
      <c r="O25" s="47">
        <v>26.6</v>
      </c>
      <c r="P25" s="47">
        <v>27.4</v>
      </c>
      <c r="Q25" s="47">
        <v>27.2</v>
      </c>
      <c r="R25" s="47">
        <v>27.3</v>
      </c>
      <c r="S25" s="47">
        <v>26.6</v>
      </c>
      <c r="T25" s="16">
        <v>26.6</v>
      </c>
    </row>
    <row r="26" spans="1:20" ht="15.75">
      <c r="A26" s="50" t="s">
        <v>26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"/>
      <c r="M26" s="20"/>
      <c r="N26" s="14"/>
      <c r="O26" s="14"/>
      <c r="P26" s="14"/>
      <c r="Q26" s="14"/>
      <c r="R26" s="23"/>
      <c r="S26" s="23"/>
      <c r="T26" s="23"/>
    </row>
    <row r="27" spans="1:20" ht="12.75">
      <c r="A27" s="52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23"/>
      <c r="M27" s="23"/>
      <c r="N27" s="23"/>
      <c r="O27" s="23"/>
      <c r="P27" s="23"/>
      <c r="Q27" s="23"/>
      <c r="R27" s="23"/>
      <c r="S27" s="23"/>
      <c r="T27" s="23"/>
    </row>
    <row r="28" spans="1:20" ht="12.75">
      <c r="A28" s="53" t="s">
        <v>28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23"/>
      <c r="M28" s="23"/>
      <c r="N28" s="23"/>
      <c r="O28" s="23"/>
      <c r="P28" s="23"/>
      <c r="Q28" s="23"/>
      <c r="R28" s="23"/>
      <c r="S28" s="23"/>
      <c r="T28" s="23"/>
    </row>
    <row r="29" spans="1:20" ht="12.75">
      <c r="A29" s="54" t="s">
        <v>37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33" customHeight="1">
      <c r="A30" s="55" t="s">
        <v>51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23"/>
      <c r="M30" s="23"/>
      <c r="N30" s="23"/>
      <c r="O30" s="23"/>
      <c r="P30" s="23"/>
      <c r="Q30" s="23"/>
      <c r="R30" s="23"/>
      <c r="S30" s="23"/>
      <c r="T30" s="23"/>
    </row>
    <row r="31" spans="1:20" ht="12.75" customHeight="1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23"/>
      <c r="M31" s="23"/>
      <c r="N31" s="23"/>
      <c r="O31" s="23"/>
      <c r="P31" s="23"/>
      <c r="Q31" s="23"/>
      <c r="R31" s="23"/>
      <c r="S31" s="23"/>
      <c r="T31" s="23"/>
    </row>
    <row r="32" spans="1:20" ht="12.75">
      <c r="A32" s="56" t="s">
        <v>27</v>
      </c>
      <c r="B32" s="56"/>
      <c r="C32" s="56"/>
      <c r="D32" s="56"/>
      <c r="E32" s="56"/>
      <c r="F32" s="56"/>
      <c r="G32" s="56"/>
      <c r="H32" s="49"/>
      <c r="I32" s="49"/>
      <c r="J32" s="49"/>
      <c r="K32" s="49"/>
      <c r="L32" s="23"/>
      <c r="M32" s="23"/>
      <c r="N32" s="23"/>
      <c r="O32" s="23"/>
      <c r="P32" s="23"/>
      <c r="Q32" s="23"/>
      <c r="R32" s="23"/>
      <c r="S32" s="23"/>
      <c r="T32" s="23"/>
    </row>
    <row r="33" spans="1:20" ht="43.5" customHeight="1">
      <c r="A33" s="57" t="s">
        <v>49</v>
      </c>
      <c r="B33" s="56"/>
      <c r="C33" s="56"/>
      <c r="D33" s="56"/>
      <c r="E33" s="56"/>
      <c r="F33" s="56"/>
      <c r="G33" s="56"/>
      <c r="H33" s="49"/>
      <c r="I33" s="49"/>
      <c r="J33" s="49"/>
      <c r="K33" s="49"/>
      <c r="L33" s="23"/>
      <c r="M33" s="23"/>
      <c r="N33" s="23"/>
      <c r="O33" s="23"/>
      <c r="P33" s="23"/>
      <c r="Q33" s="23"/>
      <c r="R33" s="23"/>
      <c r="S33" s="23"/>
      <c r="T33" s="23"/>
    </row>
  </sheetData>
  <mergeCells count="8">
    <mergeCell ref="A29:K29"/>
    <mergeCell ref="A30:K30"/>
    <mergeCell ref="A32:K32"/>
    <mergeCell ref="A33:K33"/>
    <mergeCell ref="A1:T1"/>
    <mergeCell ref="A26:K26"/>
    <mergeCell ref="A27:K27"/>
    <mergeCell ref="A28:K28"/>
  </mergeCells>
  <printOptions/>
  <pageMargins left="0.75" right="0.75" top="1" bottom="1" header="0.5" footer="0.5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0"/>
  <sheetViews>
    <sheetView zoomScaleSheetLayoutView="100" workbookViewId="0" topLeftCell="A1">
      <selection activeCell="A66" sqref="A66"/>
    </sheetView>
  </sheetViews>
  <sheetFormatPr defaultColWidth="9.140625" defaultRowHeight="12.75"/>
  <cols>
    <col min="1" max="1" width="24.00390625" style="23" customWidth="1"/>
    <col min="2" max="12" width="9.140625" style="23" customWidth="1"/>
    <col min="13" max="13" width="9.00390625" style="23" customWidth="1"/>
    <col min="14" max="16384" width="9.140625" style="23" customWidth="1"/>
  </cols>
  <sheetData>
    <row r="1" spans="1:17" ht="15.75" thickBot="1">
      <c r="A1" s="58" t="s">
        <v>38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s="39" customFormat="1" ht="13.5">
      <c r="A2" s="36"/>
      <c r="B2" s="37" t="s">
        <v>14</v>
      </c>
      <c r="C2" s="37" t="s">
        <v>32</v>
      </c>
      <c r="D2" s="37" t="s">
        <v>15</v>
      </c>
      <c r="E2" s="37" t="s">
        <v>16</v>
      </c>
      <c r="F2" s="37" t="s">
        <v>17</v>
      </c>
      <c r="G2" s="37" t="s">
        <v>18</v>
      </c>
      <c r="H2" s="37" t="s">
        <v>19</v>
      </c>
      <c r="I2" s="37" t="s">
        <v>20</v>
      </c>
      <c r="J2" s="37" t="s">
        <v>33</v>
      </c>
      <c r="K2" s="37" t="s">
        <v>21</v>
      </c>
      <c r="L2" s="37" t="s">
        <v>22</v>
      </c>
      <c r="M2" s="38" t="s">
        <v>23</v>
      </c>
      <c r="N2" s="38" t="s">
        <v>24</v>
      </c>
      <c r="O2" s="38" t="s">
        <v>25</v>
      </c>
      <c r="P2" s="38" t="s">
        <v>34</v>
      </c>
      <c r="Q2" s="38" t="s">
        <v>35</v>
      </c>
    </row>
    <row r="3" spans="1:17" ht="15.75">
      <c r="A3" s="32" t="s">
        <v>39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s="35" customFormat="1" ht="13.5">
      <c r="A4" s="10" t="s">
        <v>31</v>
      </c>
      <c r="B4" s="33">
        <f>9094506/1000</f>
        <v>9094.506</v>
      </c>
      <c r="C4" s="33">
        <f>10968515/1000</f>
        <v>10968.515</v>
      </c>
      <c r="D4" s="33">
        <f>9224465/1000</f>
        <v>9224.465</v>
      </c>
      <c r="E4" s="33">
        <f>8379963/1000</f>
        <v>8379.963</v>
      </c>
      <c r="F4" s="33">
        <f>8107003/1000</f>
        <v>8107.003</v>
      </c>
      <c r="G4" s="33">
        <f>8387928/1000</f>
        <v>8387.928</v>
      </c>
      <c r="H4" s="33">
        <f>8916462/1000</f>
        <v>8916.462</v>
      </c>
      <c r="I4" s="33">
        <f>8724870/1000</f>
        <v>8724.87</v>
      </c>
      <c r="J4" s="33">
        <f>8651849/1000</f>
        <v>8651.849</v>
      </c>
      <c r="K4" s="33">
        <f>8261040/1000</f>
        <v>8261.04</v>
      </c>
      <c r="L4" s="34">
        <f>8070937/1000</f>
        <v>8070.937</v>
      </c>
      <c r="M4" s="34">
        <f>8645913/1000</f>
        <v>8645.913</v>
      </c>
      <c r="N4" s="34">
        <v>8978.102</v>
      </c>
      <c r="O4" s="34">
        <v>8307.985</v>
      </c>
      <c r="P4" s="34">
        <v>8336.459</v>
      </c>
      <c r="Q4" s="34">
        <v>7698.056</v>
      </c>
    </row>
    <row r="5" spans="1:17" ht="13.5">
      <c r="A5" s="2" t="s">
        <v>1</v>
      </c>
      <c r="B5" s="9">
        <f>428346/1000</f>
        <v>428.346</v>
      </c>
      <c r="C5" s="9">
        <f>52295/1000</f>
        <v>52.295</v>
      </c>
      <c r="D5" s="9">
        <f>76698/1000</f>
        <v>76.698</v>
      </c>
      <c r="E5" s="9">
        <f>96290/1000</f>
        <v>96.29</v>
      </c>
      <c r="F5" s="9">
        <f>107634/1000</f>
        <v>107.634</v>
      </c>
      <c r="G5" s="9">
        <f>84345/1000</f>
        <v>84.345</v>
      </c>
      <c r="H5" s="9">
        <f>57198/1000</f>
        <v>57.198</v>
      </c>
      <c r="I5" s="9">
        <f>44752/1000</f>
        <v>44.752</v>
      </c>
      <c r="J5" s="9">
        <f>34234/1000</f>
        <v>34.234</v>
      </c>
      <c r="K5" s="9">
        <f>39519/1000</f>
        <v>39.519</v>
      </c>
      <c r="L5" s="4">
        <f>12159/1000</f>
        <v>12.159</v>
      </c>
      <c r="M5" s="4">
        <f>12903/1000</f>
        <v>12.903</v>
      </c>
      <c r="N5" s="3">
        <v>19.245</v>
      </c>
      <c r="O5" s="3">
        <v>33.206</v>
      </c>
      <c r="P5" s="3">
        <v>53.84</v>
      </c>
      <c r="Q5" s="3">
        <v>80.286</v>
      </c>
    </row>
    <row r="6" spans="1:17" ht="13.5">
      <c r="A6" s="2" t="s">
        <v>2</v>
      </c>
      <c r="B6" s="9">
        <f>3441480/1000</f>
        <v>3441.48</v>
      </c>
      <c r="C6" s="9">
        <f>2382339/1000</f>
        <v>2382.339</v>
      </c>
      <c r="D6" s="9">
        <f>2030226/1000</f>
        <v>2030.226</v>
      </c>
      <c r="E6" s="9">
        <f>2256293/1000</f>
        <v>2256.293</v>
      </c>
      <c r="F6" s="9">
        <f>2074351/1000</f>
        <v>2074.351</v>
      </c>
      <c r="G6" s="9">
        <f>1944892/1000</f>
        <v>1944.892</v>
      </c>
      <c r="H6" s="9">
        <f>2015280/1000</f>
        <v>2015.28</v>
      </c>
      <c r="I6" s="9">
        <f>1518209/1000</f>
        <v>1518.209</v>
      </c>
      <c r="J6" s="9">
        <f>1315281/1000</f>
        <v>1315.281</v>
      </c>
      <c r="K6" s="9">
        <f>1510050/1000</f>
        <v>1510.05</v>
      </c>
      <c r="L6" s="3">
        <f>1491233/1000</f>
        <v>1491.233</v>
      </c>
      <c r="M6" s="3">
        <f>1622483/1000</f>
        <v>1622.483</v>
      </c>
      <c r="N6" s="3">
        <v>1789.35</v>
      </c>
      <c r="O6" s="3">
        <v>922.287</v>
      </c>
      <c r="P6" s="3">
        <v>636.397</v>
      </c>
      <c r="Q6" s="3">
        <v>459.025</v>
      </c>
    </row>
    <row r="7" spans="1:17" ht="13.5">
      <c r="A7" s="2" t="s">
        <v>3</v>
      </c>
      <c r="B7" s="9">
        <f>599423/1000</f>
        <v>599.423</v>
      </c>
      <c r="C7" s="9">
        <f>3526118/1000</f>
        <v>3526.118</v>
      </c>
      <c r="D7" s="9">
        <f>3156481/1000</f>
        <v>3156.481</v>
      </c>
      <c r="E7" s="9">
        <f>2425398/1000</f>
        <v>2425.398</v>
      </c>
      <c r="F7" s="9">
        <f>2451498/1000</f>
        <v>2451.498</v>
      </c>
      <c r="G7" s="9">
        <f>2655378/1000</f>
        <v>2655.378</v>
      </c>
      <c r="H7" s="9">
        <f>3077203/1000</f>
        <v>3077.203</v>
      </c>
      <c r="I7" s="9">
        <f>3289735/1000</f>
        <v>3289.735</v>
      </c>
      <c r="J7" s="24">
        <v>3493</v>
      </c>
      <c r="K7" s="9">
        <f>2937064/1000</f>
        <v>2937.064</v>
      </c>
      <c r="L7" s="3">
        <f>2309330/1000</f>
        <v>2309.33</v>
      </c>
      <c r="M7" s="3">
        <f>2367048/1000</f>
        <v>2367.048</v>
      </c>
      <c r="N7" s="3">
        <v>2397.813</v>
      </c>
      <c r="O7" s="3">
        <v>3058.389</v>
      </c>
      <c r="P7" s="3">
        <v>3217.151</v>
      </c>
      <c r="Q7" s="3">
        <v>3018.407</v>
      </c>
    </row>
    <row r="8" spans="1:17" ht="13.5">
      <c r="A8" s="2" t="s">
        <v>4</v>
      </c>
      <c r="B8" s="9">
        <f>3073103/1000</f>
        <v>3073.103</v>
      </c>
      <c r="C8" s="9">
        <f>3117817/1000</f>
        <v>3117.817</v>
      </c>
      <c r="D8" s="9">
        <f>2511503/1000</f>
        <v>2511.503</v>
      </c>
      <c r="E8" s="9">
        <f>2305773/1000</f>
        <v>2305.773</v>
      </c>
      <c r="F8" s="9">
        <f>2249553/1000</f>
        <v>2249.553</v>
      </c>
      <c r="G8" s="9">
        <f>2445842/1000</f>
        <v>2445.842</v>
      </c>
      <c r="H8" s="9">
        <f>2359898/1000</f>
        <v>2359.898</v>
      </c>
      <c r="I8" s="9">
        <f>2498521/1000</f>
        <v>2498.521</v>
      </c>
      <c r="J8" s="9">
        <f>2487880/1000</f>
        <v>2487.88</v>
      </c>
      <c r="K8" s="9">
        <f>2531196/1000</f>
        <v>2531.196</v>
      </c>
      <c r="L8" s="3">
        <f>3106787/1000</f>
        <v>3106.787</v>
      </c>
      <c r="M8" s="3">
        <f>3359492/1000</f>
        <v>3359.492</v>
      </c>
      <c r="N8" s="3">
        <v>3352.198</v>
      </c>
      <c r="O8" s="3">
        <v>2669.116</v>
      </c>
      <c r="P8" s="3">
        <v>2917.527</v>
      </c>
      <c r="Q8" s="3">
        <v>2624.346</v>
      </c>
    </row>
    <row r="9" spans="1:17" ht="13.5">
      <c r="A9" s="2" t="s">
        <v>5</v>
      </c>
      <c r="B9" s="9">
        <f>1336190/1000</f>
        <v>1336.19</v>
      </c>
      <c r="C9" s="9">
        <f>1516249/1000</f>
        <v>1516.249</v>
      </c>
      <c r="D9" s="9">
        <f>1279092/1000</f>
        <v>1279.092</v>
      </c>
      <c r="E9" s="9">
        <f>1161319/1000</f>
        <v>1161.319</v>
      </c>
      <c r="F9" s="9">
        <f>1140775/1000</f>
        <v>1140.775</v>
      </c>
      <c r="G9" s="9">
        <f>1186991/1000</f>
        <v>1186.991</v>
      </c>
      <c r="H9" s="9">
        <f>1339863/1000</f>
        <v>1339.863</v>
      </c>
      <c r="I9" s="9">
        <f>1320608/1000</f>
        <v>1320.608</v>
      </c>
      <c r="J9" s="9">
        <f>1259266/1000</f>
        <v>1259.266</v>
      </c>
      <c r="K9" s="9">
        <f>1162290/1000</f>
        <v>1162.29</v>
      </c>
      <c r="L9" s="3">
        <f>1050405/1000</f>
        <v>1050.405</v>
      </c>
      <c r="M9" s="3">
        <f>1180739/1000</f>
        <v>1180.739</v>
      </c>
      <c r="N9" s="3">
        <v>1297.237</v>
      </c>
      <c r="O9" s="3">
        <v>1506.89</v>
      </c>
      <c r="P9" s="3">
        <v>1377.357</v>
      </c>
      <c r="Q9" s="3">
        <v>1350.67</v>
      </c>
    </row>
    <row r="10" spans="1:17" ht="13.5">
      <c r="A10" s="2" t="s">
        <v>6</v>
      </c>
      <c r="B10" s="9">
        <f>215964/1000</f>
        <v>215.964</v>
      </c>
      <c r="C10" s="9">
        <f>373697/1000</f>
        <v>373.697</v>
      </c>
      <c r="D10" s="9">
        <f>170465/1000</f>
        <v>170.465</v>
      </c>
      <c r="E10" s="9">
        <f>134890/1000</f>
        <v>134.89</v>
      </c>
      <c r="F10" s="9">
        <f>83192/1000</f>
        <v>83.192</v>
      </c>
      <c r="G10" s="9">
        <f>70480/1000</f>
        <v>70.48</v>
      </c>
      <c r="H10" s="9">
        <f>67020/1000</f>
        <v>67.02</v>
      </c>
      <c r="I10" s="9">
        <f>53045/1000</f>
        <v>53.045</v>
      </c>
      <c r="J10" s="9">
        <f>62231/1000</f>
        <v>62.231</v>
      </c>
      <c r="K10" s="9">
        <f>80921/1000</f>
        <v>80.921</v>
      </c>
      <c r="L10" s="3">
        <f>101023/1000</f>
        <v>101.023</v>
      </c>
      <c r="M10" s="3">
        <f>103248/1000</f>
        <v>103.248</v>
      </c>
      <c r="N10" s="3">
        <v>122.259</v>
      </c>
      <c r="O10" s="3">
        <v>118.097</v>
      </c>
      <c r="P10" s="3">
        <v>134.187</v>
      </c>
      <c r="Q10" s="3">
        <v>165.322</v>
      </c>
    </row>
    <row r="11" spans="1:17" ht="13.5">
      <c r="A11" s="11" t="s">
        <v>29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3"/>
      <c r="Q11" s="1"/>
    </row>
    <row r="12" spans="1:17" ht="13.5">
      <c r="A12" s="12" t="s">
        <v>1</v>
      </c>
      <c r="B12" s="5">
        <v>4.7</v>
      </c>
      <c r="C12" s="5">
        <v>0.5</v>
      </c>
      <c r="D12" s="5">
        <v>0.8</v>
      </c>
      <c r="E12" s="5">
        <v>1.1</v>
      </c>
      <c r="F12" s="5">
        <v>1.3</v>
      </c>
      <c r="G12" s="5">
        <v>1</v>
      </c>
      <c r="H12" s="5">
        <v>0.6</v>
      </c>
      <c r="I12" s="5">
        <v>0.5</v>
      </c>
      <c r="J12" s="5">
        <v>0.4</v>
      </c>
      <c r="K12" s="5">
        <v>0.5</v>
      </c>
      <c r="L12" s="1">
        <v>0.2</v>
      </c>
      <c r="M12" s="1">
        <v>0.1</v>
      </c>
      <c r="N12" s="13">
        <v>0.2</v>
      </c>
      <c r="O12" s="13">
        <v>0.4</v>
      </c>
      <c r="P12" s="13">
        <v>0.6</v>
      </c>
      <c r="Q12" s="13">
        <v>1</v>
      </c>
    </row>
    <row r="13" spans="1:17" ht="13.5">
      <c r="A13" s="2" t="s">
        <v>9</v>
      </c>
      <c r="B13" s="5">
        <v>37.8</v>
      </c>
      <c r="C13" s="5">
        <v>21.7</v>
      </c>
      <c r="D13" s="5">
        <v>22</v>
      </c>
      <c r="E13" s="5">
        <v>26.9</v>
      </c>
      <c r="F13" s="5">
        <v>25.6</v>
      </c>
      <c r="G13" s="5">
        <v>23.2</v>
      </c>
      <c r="H13" s="5">
        <v>22.6</v>
      </c>
      <c r="I13" s="5">
        <v>17.4</v>
      </c>
      <c r="J13" s="5">
        <v>15.2</v>
      </c>
      <c r="K13" s="5">
        <v>18.3</v>
      </c>
      <c r="L13" s="1">
        <v>18.5</v>
      </c>
      <c r="M13" s="1">
        <v>18.8</v>
      </c>
      <c r="N13" s="13">
        <v>19.9</v>
      </c>
      <c r="O13" s="13">
        <v>11.1</v>
      </c>
      <c r="P13" s="13">
        <v>7.6</v>
      </c>
      <c r="Q13" s="13">
        <v>6</v>
      </c>
    </row>
    <row r="14" spans="1:17" ht="13.5">
      <c r="A14" s="2" t="s">
        <v>3</v>
      </c>
      <c r="B14" s="5">
        <v>6.6</v>
      </c>
      <c r="C14" s="5">
        <v>32.1</v>
      </c>
      <c r="D14" s="5">
        <v>34.2</v>
      </c>
      <c r="E14" s="5">
        <v>28.9</v>
      </c>
      <c r="F14" s="5">
        <v>30.2</v>
      </c>
      <c r="G14" s="5">
        <v>31.7</v>
      </c>
      <c r="H14" s="5">
        <v>34.5</v>
      </c>
      <c r="I14" s="5">
        <v>37.7</v>
      </c>
      <c r="J14" s="5">
        <v>40.4</v>
      </c>
      <c r="K14" s="5">
        <v>35.6</v>
      </c>
      <c r="L14" s="1">
        <v>28.6</v>
      </c>
      <c r="M14" s="1">
        <v>27.4</v>
      </c>
      <c r="N14" s="13">
        <v>26.7</v>
      </c>
      <c r="O14" s="13">
        <v>36.8</v>
      </c>
      <c r="P14" s="13">
        <v>38.6</v>
      </c>
      <c r="Q14" s="13">
        <v>39.2</v>
      </c>
    </row>
    <row r="15" spans="1:17" ht="13.5">
      <c r="A15" s="2" t="s">
        <v>11</v>
      </c>
      <c r="B15" s="5">
        <v>33.8</v>
      </c>
      <c r="C15" s="5">
        <v>28.4</v>
      </c>
      <c r="D15" s="5">
        <v>27.2</v>
      </c>
      <c r="E15" s="5">
        <v>27.5</v>
      </c>
      <c r="F15" s="5">
        <v>27.7</v>
      </c>
      <c r="G15" s="5">
        <v>29.2</v>
      </c>
      <c r="H15" s="5">
        <v>26.5</v>
      </c>
      <c r="I15" s="5">
        <v>28.6</v>
      </c>
      <c r="J15" s="5">
        <v>28.8</v>
      </c>
      <c r="K15" s="5">
        <v>30.6</v>
      </c>
      <c r="L15" s="1">
        <v>38.5</v>
      </c>
      <c r="M15" s="1">
        <v>38.9</v>
      </c>
      <c r="N15" s="13">
        <v>37.3</v>
      </c>
      <c r="O15" s="13">
        <v>32.1</v>
      </c>
      <c r="P15" s="13">
        <v>35</v>
      </c>
      <c r="Q15" s="13">
        <v>34.1</v>
      </c>
    </row>
    <row r="16" spans="1:17" ht="13.5">
      <c r="A16" s="2" t="s">
        <v>12</v>
      </c>
      <c r="B16" s="5">
        <v>14.7</v>
      </c>
      <c r="C16" s="5">
        <v>13.8</v>
      </c>
      <c r="D16" s="5">
        <v>13.9</v>
      </c>
      <c r="E16" s="5">
        <v>13.9</v>
      </c>
      <c r="F16" s="5">
        <v>14.1</v>
      </c>
      <c r="G16" s="5">
        <v>14.2</v>
      </c>
      <c r="H16" s="5">
        <v>15</v>
      </c>
      <c r="I16" s="5">
        <v>15.1</v>
      </c>
      <c r="J16" s="5">
        <v>14.6</v>
      </c>
      <c r="K16" s="25">
        <v>14.1</v>
      </c>
      <c r="L16" s="6">
        <v>13</v>
      </c>
      <c r="M16" s="1">
        <v>13.7</v>
      </c>
      <c r="N16" s="13">
        <v>14.4</v>
      </c>
      <c r="O16" s="13">
        <v>18.1</v>
      </c>
      <c r="P16" s="13">
        <v>16.5</v>
      </c>
      <c r="Q16" s="13">
        <v>17.5</v>
      </c>
    </row>
    <row r="17" spans="1:17" s="26" customFormat="1" ht="13.5">
      <c r="A17" s="2" t="s">
        <v>13</v>
      </c>
      <c r="B17" s="5">
        <v>2.4</v>
      </c>
      <c r="C17" s="5">
        <v>3.4</v>
      </c>
      <c r="D17" s="5">
        <v>1.8</v>
      </c>
      <c r="E17" s="5">
        <v>1.6</v>
      </c>
      <c r="F17" s="5">
        <v>1</v>
      </c>
      <c r="G17" s="5">
        <v>0.8</v>
      </c>
      <c r="H17" s="5">
        <v>0.8</v>
      </c>
      <c r="I17" s="5">
        <v>0.6</v>
      </c>
      <c r="J17" s="5">
        <v>0.7</v>
      </c>
      <c r="K17" s="5">
        <v>1</v>
      </c>
      <c r="L17" s="7">
        <v>1.3</v>
      </c>
      <c r="M17" s="7">
        <v>1.2</v>
      </c>
      <c r="N17" s="14">
        <v>1.4</v>
      </c>
      <c r="O17" s="14">
        <v>1.4</v>
      </c>
      <c r="P17" s="14">
        <v>1.6</v>
      </c>
      <c r="Q17" s="14">
        <v>2.1</v>
      </c>
    </row>
    <row r="18" spans="1:17" ht="13.5">
      <c r="A18" s="10" t="s">
        <v>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"/>
      <c r="M18" s="1"/>
      <c r="N18" s="13"/>
      <c r="O18" s="13"/>
      <c r="P18" s="13"/>
      <c r="Q18" s="13"/>
    </row>
    <row r="19" spans="1:17" ht="13.5">
      <c r="A19" s="2" t="s">
        <v>0</v>
      </c>
      <c r="B19" s="5">
        <v>23.2</v>
      </c>
      <c r="C19" s="5">
        <v>27</v>
      </c>
      <c r="D19" s="5">
        <v>27.6</v>
      </c>
      <c r="E19" s="5">
        <v>27.7</v>
      </c>
      <c r="F19" s="5">
        <v>27.7</v>
      </c>
      <c r="G19" s="5">
        <v>27.8</v>
      </c>
      <c r="H19" s="5">
        <v>27.8</v>
      </c>
      <c r="I19" s="5">
        <v>28</v>
      </c>
      <c r="J19" s="5">
        <v>28.3</v>
      </c>
      <c r="K19" s="5">
        <v>28.3</v>
      </c>
      <c r="L19" s="1">
        <v>28.3</v>
      </c>
      <c r="M19" s="6">
        <v>28</v>
      </c>
      <c r="N19" s="13">
        <v>28.2</v>
      </c>
      <c r="O19" s="13">
        <v>28.5</v>
      </c>
      <c r="P19" s="13">
        <v>28.5</v>
      </c>
      <c r="Q19" s="13">
        <v>28.7</v>
      </c>
    </row>
    <row r="20" spans="1:17" ht="13.5">
      <c r="A20" s="2" t="s">
        <v>8</v>
      </c>
      <c r="B20" s="5">
        <v>29.4</v>
      </c>
      <c r="C20" s="5">
        <v>32.7</v>
      </c>
      <c r="D20" s="5">
        <v>26.4</v>
      </c>
      <c r="E20" s="5">
        <v>29.3</v>
      </c>
      <c r="F20" s="5">
        <v>30.6</v>
      </c>
      <c r="G20" s="5">
        <v>29.9</v>
      </c>
      <c r="H20" s="5">
        <v>27.8</v>
      </c>
      <c r="I20" s="5">
        <v>27</v>
      </c>
      <c r="J20" s="5">
        <v>27.2</v>
      </c>
      <c r="K20" s="5">
        <v>26.3</v>
      </c>
      <c r="L20" s="1">
        <v>23.9</v>
      </c>
      <c r="M20" s="1">
        <v>24.8</v>
      </c>
      <c r="N20" s="13">
        <v>25.6</v>
      </c>
      <c r="O20" s="13">
        <v>24.6</v>
      </c>
      <c r="P20" s="13">
        <v>26.2</v>
      </c>
      <c r="Q20" s="13">
        <v>29</v>
      </c>
    </row>
    <row r="21" spans="1:17" ht="13.5">
      <c r="A21" s="2" t="s">
        <v>2</v>
      </c>
      <c r="B21" s="5">
        <v>27.3</v>
      </c>
      <c r="C21" s="5">
        <v>30.1</v>
      </c>
      <c r="D21" s="5">
        <v>31.3</v>
      </c>
      <c r="E21" s="5">
        <v>31.6</v>
      </c>
      <c r="F21" s="5">
        <v>31.8</v>
      </c>
      <c r="G21" s="5">
        <v>31.9</v>
      </c>
      <c r="H21" s="5">
        <v>31.3</v>
      </c>
      <c r="I21" s="5">
        <v>31.7</v>
      </c>
      <c r="J21" s="5">
        <v>32.1</v>
      </c>
      <c r="K21" s="5">
        <v>32.6</v>
      </c>
      <c r="L21" s="1">
        <v>31.3</v>
      </c>
      <c r="M21" s="6">
        <v>31</v>
      </c>
      <c r="N21" s="13">
        <v>31.1</v>
      </c>
      <c r="O21" s="13">
        <v>29.6</v>
      </c>
      <c r="P21" s="13">
        <v>27.6</v>
      </c>
      <c r="Q21" s="13">
        <v>27.1</v>
      </c>
    </row>
    <row r="22" spans="1:17" ht="13.5">
      <c r="A22" s="2" t="s">
        <v>10</v>
      </c>
      <c r="B22" s="5">
        <v>22.3</v>
      </c>
      <c r="C22" s="5">
        <v>29.6</v>
      </c>
      <c r="D22" s="5">
        <v>28.9</v>
      </c>
      <c r="E22" s="5">
        <v>28.8</v>
      </c>
      <c r="F22" s="5">
        <v>28.7</v>
      </c>
      <c r="G22" s="5">
        <v>29.3</v>
      </c>
      <c r="H22" s="5">
        <v>29.8</v>
      </c>
      <c r="I22" s="5">
        <v>30.2</v>
      </c>
      <c r="J22" s="5">
        <v>30.4</v>
      </c>
      <c r="K22" s="5">
        <v>30</v>
      </c>
      <c r="L22" s="1">
        <v>30.8</v>
      </c>
      <c r="M22" s="1">
        <v>30.2</v>
      </c>
      <c r="N22" s="13">
        <v>30.4</v>
      </c>
      <c r="O22" s="13">
        <v>31.3</v>
      </c>
      <c r="P22" s="13">
        <v>31.5</v>
      </c>
      <c r="Q22" s="13">
        <v>31.5</v>
      </c>
    </row>
    <row r="23" spans="1:17" ht="13.5">
      <c r="A23" s="2" t="s">
        <v>11</v>
      </c>
      <c r="B23" s="5">
        <v>21.3</v>
      </c>
      <c r="C23" s="5">
        <v>24.9</v>
      </c>
      <c r="D23" s="5">
        <v>25.9</v>
      </c>
      <c r="E23" s="5">
        <v>25.9</v>
      </c>
      <c r="F23" s="5">
        <v>25.8</v>
      </c>
      <c r="G23" s="5">
        <v>25.7</v>
      </c>
      <c r="H23" s="5">
        <v>25.6</v>
      </c>
      <c r="I23" s="5">
        <v>25.9</v>
      </c>
      <c r="J23" s="5">
        <v>26.4</v>
      </c>
      <c r="K23" s="5">
        <v>26.3</v>
      </c>
      <c r="L23" s="1">
        <v>26.9</v>
      </c>
      <c r="M23" s="27">
        <v>27</v>
      </c>
      <c r="N23" s="13">
        <v>26.8</v>
      </c>
      <c r="O23" s="13">
        <v>27.2</v>
      </c>
      <c r="P23" s="13">
        <v>27.4</v>
      </c>
      <c r="Q23" s="13">
        <v>28</v>
      </c>
    </row>
    <row r="24" spans="1:17" ht="13.5">
      <c r="A24" s="2" t="s">
        <v>12</v>
      </c>
      <c r="B24" s="5">
        <v>19.3</v>
      </c>
      <c r="C24" s="5">
        <v>22.3</v>
      </c>
      <c r="D24" s="5">
        <v>23.5</v>
      </c>
      <c r="E24" s="5">
        <v>23.3</v>
      </c>
      <c r="F24" s="5">
        <v>23.7</v>
      </c>
      <c r="G24" s="5">
        <v>24</v>
      </c>
      <c r="H24" s="5">
        <v>24.2</v>
      </c>
      <c r="I24" s="5">
        <v>24.1</v>
      </c>
      <c r="J24" s="5">
        <v>24.2</v>
      </c>
      <c r="K24" s="5">
        <v>24.5</v>
      </c>
      <c r="L24" s="7">
        <v>24.6</v>
      </c>
      <c r="M24" s="7">
        <v>24.4</v>
      </c>
      <c r="N24" s="14">
        <v>25.3</v>
      </c>
      <c r="O24" s="14">
        <v>25.4</v>
      </c>
      <c r="P24" s="14">
        <v>25.5</v>
      </c>
      <c r="Q24" s="14">
        <v>25.9</v>
      </c>
    </row>
    <row r="25" spans="1:17" s="26" customFormat="1" ht="14.25" thickBot="1">
      <c r="A25" s="15" t="s">
        <v>13</v>
      </c>
      <c r="B25" s="8">
        <v>21</v>
      </c>
      <c r="C25" s="8">
        <v>27.6</v>
      </c>
      <c r="D25" s="8">
        <v>28</v>
      </c>
      <c r="E25" s="8">
        <v>27.3</v>
      </c>
      <c r="F25" s="8">
        <v>25.9</v>
      </c>
      <c r="G25" s="8">
        <v>24.8</v>
      </c>
      <c r="H25" s="8">
        <v>23.9</v>
      </c>
      <c r="I25" s="8">
        <v>24.7</v>
      </c>
      <c r="J25" s="8">
        <v>25.4</v>
      </c>
      <c r="K25" s="8">
        <v>26.3</v>
      </c>
      <c r="L25" s="8">
        <v>25.4</v>
      </c>
      <c r="M25" s="28">
        <v>25.2</v>
      </c>
      <c r="N25" s="16">
        <v>25.8</v>
      </c>
      <c r="O25" s="16">
        <v>26.5</v>
      </c>
      <c r="P25" s="16">
        <v>25.2</v>
      </c>
      <c r="Q25" s="16">
        <v>25.1</v>
      </c>
    </row>
    <row r="26" spans="1:17" s="26" customFormat="1" ht="12.75" customHeight="1">
      <c r="A26" s="62" t="s">
        <v>26</v>
      </c>
      <c r="B26" s="63"/>
      <c r="C26" s="63"/>
      <c r="D26" s="63"/>
      <c r="E26" s="63"/>
      <c r="F26" s="63"/>
      <c r="G26" s="19"/>
      <c r="H26" s="19"/>
      <c r="I26" s="19"/>
      <c r="J26" s="19"/>
      <c r="K26" s="19"/>
      <c r="L26" s="5"/>
      <c r="M26" s="20"/>
      <c r="N26" s="14"/>
      <c r="O26" s="14"/>
      <c r="P26" s="14"/>
      <c r="Q26" s="14"/>
    </row>
    <row r="27" spans="1:14" s="26" customFormat="1" ht="12.75" customHeight="1">
      <c r="A27" s="64"/>
      <c r="B27" s="65"/>
      <c r="C27" s="65"/>
      <c r="D27" s="65"/>
      <c r="E27" s="65"/>
      <c r="F27" s="65"/>
      <c r="G27" s="5"/>
      <c r="H27" s="5"/>
      <c r="I27" s="5"/>
      <c r="J27" s="5"/>
      <c r="K27" s="5"/>
      <c r="L27" s="5"/>
      <c r="M27" s="20"/>
      <c r="N27" s="14"/>
    </row>
    <row r="28" spans="1:17" s="26" customFormat="1" ht="27.75" customHeight="1">
      <c r="A28" s="67" t="s">
        <v>30</v>
      </c>
      <c r="B28" s="67"/>
      <c r="C28" s="67"/>
      <c r="D28" s="67"/>
      <c r="E28" s="67"/>
      <c r="F28" s="67"/>
      <c r="G28" s="67"/>
      <c r="H28" s="61"/>
      <c r="I28" s="21"/>
      <c r="J28" s="21"/>
      <c r="K28" s="21"/>
      <c r="L28" s="23"/>
      <c r="M28" s="23"/>
      <c r="N28" s="23"/>
      <c r="O28" s="23"/>
      <c r="P28" s="23"/>
      <c r="Q28" s="23"/>
    </row>
    <row r="29" spans="1:11" ht="12.75">
      <c r="A29" s="19"/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12.75">
      <c r="A30" s="66" t="s">
        <v>28</v>
      </c>
      <c r="B30" s="65"/>
      <c r="C30" s="65"/>
      <c r="D30" s="65"/>
      <c r="E30" s="65"/>
      <c r="F30" s="65"/>
      <c r="G30" s="65"/>
      <c r="H30" s="29"/>
      <c r="I30" s="29"/>
      <c r="J30" s="29"/>
      <c r="K30" s="29"/>
    </row>
    <row r="31" spans="1:11" ht="12.75">
      <c r="A31" s="68" t="s">
        <v>37</v>
      </c>
      <c r="B31" s="65"/>
      <c r="C31" s="65"/>
      <c r="D31" s="65"/>
      <c r="E31" s="65"/>
      <c r="F31" s="65"/>
      <c r="G31" s="65"/>
      <c r="H31" s="61"/>
      <c r="I31" s="18"/>
      <c r="J31" s="18"/>
      <c r="K31" s="18"/>
    </row>
    <row r="32" spans="1:11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2.75">
      <c r="A33" s="60" t="s">
        <v>27</v>
      </c>
      <c r="B33" s="60"/>
      <c r="C33" s="60"/>
      <c r="D33" s="60"/>
      <c r="E33" s="60"/>
      <c r="F33" s="60"/>
      <c r="G33" s="60"/>
      <c r="H33" s="17"/>
      <c r="I33" s="17"/>
      <c r="J33" s="17"/>
      <c r="K33" s="17"/>
    </row>
    <row r="34" spans="1:11" ht="23.25" customHeight="1">
      <c r="A34" s="59" t="s">
        <v>36</v>
      </c>
      <c r="B34" s="60"/>
      <c r="C34" s="60"/>
      <c r="D34" s="60"/>
      <c r="E34" s="60"/>
      <c r="F34" s="60"/>
      <c r="G34" s="60"/>
      <c r="H34" s="61"/>
      <c r="I34" s="18"/>
      <c r="J34" s="18"/>
      <c r="K34" s="18"/>
    </row>
    <row r="35" spans="1:10" s="30" customFormat="1" ht="12.75">
      <c r="A35" s="22"/>
      <c r="B35" s="22"/>
      <c r="C35" s="22"/>
      <c r="D35" s="22"/>
      <c r="E35" s="22"/>
      <c r="F35" s="22"/>
      <c r="G35" s="22"/>
      <c r="H35" s="22"/>
      <c r="I35" s="22"/>
      <c r="J35" s="22"/>
    </row>
    <row r="37" spans="22:24" ht="13.5">
      <c r="V37" s="38"/>
      <c r="W37" s="38"/>
      <c r="X37" s="38"/>
    </row>
    <row r="38" spans="22:24" ht="13.5">
      <c r="V38" s="31"/>
      <c r="W38" s="31"/>
      <c r="X38" s="31"/>
    </row>
    <row r="39" spans="22:24" ht="13.5">
      <c r="V39" s="34"/>
      <c r="W39" s="34"/>
      <c r="X39" s="34"/>
    </row>
    <row r="40" spans="22:24" ht="13.5">
      <c r="V40" s="3"/>
      <c r="W40" s="3"/>
      <c r="X40" s="3"/>
    </row>
    <row r="41" spans="22:24" ht="13.5">
      <c r="V41" s="3"/>
      <c r="W41" s="3"/>
      <c r="X41" s="3"/>
    </row>
    <row r="42" spans="22:24" ht="13.5">
      <c r="V42" s="3"/>
      <c r="W42" s="3"/>
      <c r="X42" s="3"/>
    </row>
    <row r="43" spans="22:24" ht="13.5">
      <c r="V43" s="3"/>
      <c r="W43" s="3"/>
      <c r="X43" s="3"/>
    </row>
    <row r="44" spans="22:24" ht="13.5">
      <c r="V44" s="3"/>
      <c r="W44" s="3"/>
      <c r="X44" s="3"/>
    </row>
    <row r="45" spans="22:24" ht="13.5">
      <c r="V45" s="3"/>
      <c r="W45" s="3"/>
      <c r="X45" s="3"/>
    </row>
    <row r="46" spans="22:24" ht="13.5">
      <c r="V46" s="1"/>
      <c r="W46" s="3"/>
      <c r="X46" s="1"/>
    </row>
    <row r="47" spans="22:24" ht="13.5">
      <c r="V47" s="13"/>
      <c r="W47" s="13"/>
      <c r="X47" s="13"/>
    </row>
    <row r="48" spans="22:24" ht="13.5">
      <c r="V48" s="13"/>
      <c r="W48" s="13"/>
      <c r="X48" s="13"/>
    </row>
    <row r="49" spans="22:24" ht="13.5">
      <c r="V49" s="13"/>
      <c r="W49" s="13"/>
      <c r="X49" s="13"/>
    </row>
    <row r="50" spans="22:24" ht="13.5">
      <c r="V50" s="13"/>
      <c r="W50" s="13"/>
      <c r="X50" s="13"/>
    </row>
    <row r="51" spans="22:24" ht="13.5">
      <c r="V51" s="13"/>
      <c r="W51" s="13"/>
      <c r="X51" s="13"/>
    </row>
    <row r="52" spans="22:24" ht="13.5">
      <c r="V52" s="14"/>
      <c r="W52" s="14"/>
      <c r="X52" s="14"/>
    </row>
    <row r="53" spans="22:24" ht="13.5">
      <c r="V53" s="13"/>
      <c r="W53" s="13"/>
      <c r="X53" s="13"/>
    </row>
    <row r="54" spans="22:24" ht="13.5">
      <c r="V54" s="13"/>
      <c r="W54" s="13"/>
      <c r="X54" s="13"/>
    </row>
    <row r="55" spans="22:24" ht="13.5">
      <c r="V55" s="13"/>
      <c r="W55" s="13"/>
      <c r="X55" s="13"/>
    </row>
    <row r="56" spans="22:24" ht="13.5">
      <c r="V56" s="13"/>
      <c r="W56" s="13"/>
      <c r="X56" s="13"/>
    </row>
    <row r="57" spans="22:24" ht="13.5">
      <c r="V57" s="13"/>
      <c r="W57" s="13"/>
      <c r="X57" s="13"/>
    </row>
    <row r="58" spans="22:24" ht="13.5">
      <c r="V58" s="13"/>
      <c r="W58" s="13"/>
      <c r="X58" s="13"/>
    </row>
    <row r="59" spans="22:24" ht="13.5">
      <c r="V59" s="14"/>
      <c r="W59" s="14"/>
      <c r="X59" s="14"/>
    </row>
    <row r="60" spans="22:24" ht="14.25" thickBot="1">
      <c r="V60" s="16"/>
      <c r="W60" s="16"/>
      <c r="X60" s="16"/>
    </row>
    <row r="67" ht="30" customHeight="1"/>
    <row r="69" ht="27" customHeight="1"/>
  </sheetData>
  <mergeCells count="8">
    <mergeCell ref="A1:Q1"/>
    <mergeCell ref="A34:H34"/>
    <mergeCell ref="A26:F26"/>
    <mergeCell ref="A27:F27"/>
    <mergeCell ref="A33:G33"/>
    <mergeCell ref="A30:G30"/>
    <mergeCell ref="A28:H28"/>
    <mergeCell ref="A31:H31"/>
  </mergeCells>
  <printOptions/>
  <pageMargins left="0.95" right="1" top="1" bottom="1" header="0.5" footer="0.5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Raymond Keng</cp:lastModifiedBy>
  <cp:lastPrinted>2007-12-27T14:45:57Z</cp:lastPrinted>
  <dcterms:created xsi:type="dcterms:W3CDTF">1999-02-08T16:10:53Z</dcterms:created>
  <dcterms:modified xsi:type="dcterms:W3CDTF">2007-12-27T14:45:59Z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1427546407</vt:i4>
  </property>
  <property fmtid="{D5CDD505-2E9C-101B-9397-08002B2CF9AE}" pid="3" name="_EmailSubject">
    <vt:lpwstr>NTS tables batch 9-24-04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ReviewingToolsShownOnce">
    <vt:lpwstr/>
  </property>
</Properties>
</file>