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<sst xmlns="http://schemas.openxmlformats.org/spreadsheetml/2006/main" count="47" uniqueCount="21">
  <si>
    <r>
      <t>Pipelines</t>
    </r>
    <r>
      <rPr>
        <vertAlign val="superscript"/>
        <sz val="10"/>
        <rFont val="Arial"/>
        <family val="2"/>
      </rPr>
      <t>a</t>
    </r>
  </si>
  <si>
    <t>Water carriers</t>
  </si>
  <si>
    <r>
      <t>Motor carriers</t>
    </r>
    <r>
      <rPr>
        <vertAlign val="superscript"/>
        <sz val="10"/>
        <rFont val="Arial"/>
        <family val="2"/>
      </rPr>
      <t>b</t>
    </r>
  </si>
  <si>
    <t>Railroads</t>
  </si>
  <si>
    <t xml:space="preserve">    Total</t>
  </si>
  <si>
    <t>% of total</t>
  </si>
  <si>
    <r>
      <t>b</t>
    </r>
    <r>
      <rPr>
        <sz val="8"/>
        <rFont val="Arial"/>
        <family val="2"/>
      </rPr>
      <t xml:space="preserve">  The amount carried by motor carriers is estimated.</t>
    </r>
  </si>
  <si>
    <r>
      <t xml:space="preserve">SOURCES: </t>
    </r>
    <r>
      <rPr>
        <sz val="8"/>
        <rFont val="Arial"/>
        <family val="2"/>
      </rPr>
      <t xml:space="preserve"> 1975:  Association of Oil Pipe Lines, </t>
    </r>
    <r>
      <rPr>
        <i/>
        <sz val="8"/>
        <rFont val="Arial"/>
        <family val="2"/>
      </rPr>
      <t xml:space="preserve">Shifts in Petroleum Transportation </t>
    </r>
    <r>
      <rPr>
        <sz val="8"/>
        <rFont val="Arial"/>
        <family val="2"/>
      </rPr>
      <t>(Washington, DC: Annual issues), table 6.</t>
    </r>
  </si>
  <si>
    <t>Crude Oil</t>
  </si>
  <si>
    <t>Refined Petroleum Products</t>
  </si>
  <si>
    <r>
      <t>a</t>
    </r>
    <r>
      <rPr>
        <sz val="8"/>
        <rFont val="Arial"/>
        <family val="2"/>
      </rPr>
      <t xml:space="preserve">  The amount carried by pipeline is based on ton-miles of crude and petroleum products for federally regulated pipelines (84%), </t>
    </r>
  </si>
  <si>
    <t>plus an estimated breakdown of crude and petroleum products for the ton-miles for pipelines not federally regulated (16%).</t>
  </si>
  <si>
    <t xml:space="preserve"> to U.S. refineries.</t>
  </si>
  <si>
    <r>
      <t>c</t>
    </r>
    <r>
      <rPr>
        <sz val="8"/>
        <rFont val="Arial"/>
        <family val="2"/>
      </rPr>
      <t xml:space="preserve">   Reflects the entrance between 1975 and 1980 of the Alaska pipeline, moving crude petroluem for water transportation</t>
    </r>
  </si>
  <si>
    <t>Crude Oil and Petroluem Products Transported in the United States by Mode</t>
  </si>
  <si>
    <t xml:space="preserve">Combined Crude and Petroleum Products </t>
  </si>
  <si>
    <r>
      <t>c</t>
    </r>
    <r>
      <rPr>
        <sz val="10"/>
        <rFont val="Arial"/>
        <family val="2"/>
      </rPr>
      <t>565.6</t>
    </r>
  </si>
  <si>
    <t>Tonne-kilometers (billions)</t>
  </si>
  <si>
    <t xml:space="preserve">Table 1-51M </t>
  </si>
  <si>
    <r>
      <t>c</t>
    </r>
    <r>
      <rPr>
        <sz val="10"/>
        <rFont val="Arial"/>
        <family val="2"/>
      </rPr>
      <t>902.0</t>
    </r>
  </si>
  <si>
    <r>
      <t xml:space="preserve">1980-98:  Ibid., </t>
    </r>
    <r>
      <rPr>
        <i/>
        <sz val="8"/>
        <rFont val="Arial"/>
        <family val="2"/>
      </rPr>
      <t>Shifts in Petroleum Transportation</t>
    </r>
    <r>
      <rPr>
        <sz val="8"/>
        <rFont val="Arial"/>
        <family val="2"/>
      </rPr>
      <t xml:space="preserve"> (Washington, DC: Annual issues), tables 1, 2, and 3.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</si>
</sst>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0.00_)"/>
    <numFmt numFmtId="167" formatCode="#,##0.0"/>
  </numFmts>
  <fonts count="15">
    <font>
      <sz val="10"/>
      <name val="Arial"/>
      <family val="0"/>
    </font>
    <font>
      <b/>
      <sz val="14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vertAlign val="superscript"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2" fillId="0" borderId="1" applyNumberFormat="0" applyFill="0">
      <alignment horizontal="right"/>
      <protection/>
    </xf>
    <xf numFmtId="0" fontId="11" fillId="0" borderId="1">
      <alignment horizontal="left"/>
      <protection/>
    </xf>
    <xf numFmtId="0" fontId="11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12" fillId="0" borderId="0">
      <alignment horizontal="left"/>
      <protection/>
    </xf>
  </cellStyleXfs>
  <cellXfs count="65">
    <xf numFmtId="0" fontId="0" fillId="0" borderId="0" xfId="0" applyAlignment="1">
      <alignment/>
    </xf>
    <xf numFmtId="0" fontId="1" fillId="0" borderId="0" xfId="23" applyFont="1" applyBorder="1">
      <alignment horizontal="left"/>
      <protection/>
    </xf>
    <xf numFmtId="0" fontId="0" fillId="0" borderId="0" xfId="0" applyFont="1" applyBorder="1" applyAlignment="1">
      <alignment/>
    </xf>
    <xf numFmtId="0" fontId="3" fillId="0" borderId="2" xfId="23" applyFont="1" applyBorder="1">
      <alignment horizontal="left"/>
      <protection/>
    </xf>
    <xf numFmtId="0" fontId="4" fillId="0" borderId="3" xfId="0" applyNumberFormat="1" applyFont="1" applyFill="1" applyBorder="1" applyAlignment="1">
      <alignment/>
    </xf>
    <xf numFmtId="0" fontId="4" fillId="0" borderId="3" xfId="23" applyFont="1" applyBorder="1" applyAlignment="1">
      <alignment horizontal="right"/>
      <protection/>
    </xf>
    <xf numFmtId="0" fontId="4" fillId="0" borderId="3" xfId="23" applyFont="1" applyFill="1" applyBorder="1" applyAlignment="1">
      <alignment horizontal="right"/>
      <protection/>
    </xf>
    <xf numFmtId="0" fontId="4" fillId="0" borderId="0" xfId="0" applyNumberFormat="1" applyFont="1" applyFill="1" applyBorder="1" applyAlignment="1">
      <alignment/>
    </xf>
    <xf numFmtId="0" fontId="4" fillId="0" borderId="0" xfId="23" applyFont="1" applyBorder="1" applyAlignment="1">
      <alignment horizontal="right"/>
      <protection/>
    </xf>
    <xf numFmtId="0" fontId="4" fillId="0" borderId="0" xfId="23" applyFont="1" applyFill="1" applyBorder="1" applyAlignment="1">
      <alignment horizontal="right"/>
      <protection/>
    </xf>
    <xf numFmtId="0" fontId="0" fillId="0" borderId="0" xfId="23" applyFont="1" applyBorder="1">
      <alignment horizontal="left"/>
      <protection/>
    </xf>
    <xf numFmtId="164" fontId="0" fillId="0" borderId="0" xfId="23" applyNumberFormat="1" applyFont="1" applyBorder="1" applyAlignment="1">
      <alignment horizontal="right"/>
      <protection/>
    </xf>
    <xf numFmtId="164" fontId="0" fillId="0" borderId="0" xfId="23" applyNumberFormat="1" applyFont="1" applyFill="1" applyBorder="1" applyAlignment="1">
      <alignment horizontal="right"/>
      <protection/>
    </xf>
    <xf numFmtId="164" fontId="5" fillId="0" borderId="0" xfId="23" applyNumberFormat="1" applyFont="1" applyBorder="1" applyAlignment="1">
      <alignment horizontal="right"/>
      <protection/>
    </xf>
    <xf numFmtId="164" fontId="0" fillId="0" borderId="3" xfId="23" applyNumberFormat="1" applyFont="1" applyBorder="1" applyAlignment="1">
      <alignment horizontal="right"/>
      <protection/>
    </xf>
    <xf numFmtId="164" fontId="0" fillId="0" borderId="3" xfId="23" applyNumberFormat="1" applyFont="1" applyFill="1" applyBorder="1" applyAlignment="1">
      <alignment horizontal="right"/>
      <protection/>
    </xf>
    <xf numFmtId="0" fontId="4" fillId="0" borderId="0" xfId="23" applyFont="1" applyBorder="1">
      <alignment horizontal="left"/>
      <protection/>
    </xf>
    <xf numFmtId="164" fontId="4" fillId="0" borderId="0" xfId="23" applyNumberFormat="1" applyFont="1" applyBorder="1" applyAlignment="1">
      <alignment horizontal="right"/>
      <protection/>
    </xf>
    <xf numFmtId="164" fontId="4" fillId="0" borderId="0" xfId="23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6" fillId="0" borderId="0" xfId="23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20" applyFont="1" applyBorder="1" applyAlignment="1">
      <alignment horizontal="right"/>
      <protection/>
    </xf>
    <xf numFmtId="0" fontId="4" fillId="0" borderId="0" xfId="20" applyFont="1" applyFill="1" applyBorder="1" applyAlignment="1">
      <alignment horizontal="right"/>
      <protection/>
    </xf>
    <xf numFmtId="0" fontId="0" fillId="0" borderId="0" xfId="20" applyFont="1" applyBorder="1">
      <alignment horizontal="left"/>
      <protection/>
    </xf>
    <xf numFmtId="164" fontId="0" fillId="0" borderId="0" xfId="20" applyNumberFormat="1" applyFont="1" applyBorder="1" applyAlignment="1">
      <alignment horizontal="right"/>
      <protection/>
    </xf>
    <xf numFmtId="164" fontId="0" fillId="0" borderId="0" xfId="20" applyNumberFormat="1" applyFont="1" applyFill="1" applyBorder="1" applyAlignment="1">
      <alignment horizontal="right"/>
      <protection/>
    </xf>
    <xf numFmtId="164" fontId="0" fillId="0" borderId="3" xfId="20" applyNumberFormat="1" applyFont="1" applyBorder="1" applyAlignment="1">
      <alignment horizontal="right"/>
      <protection/>
    </xf>
    <xf numFmtId="164" fontId="0" fillId="0" borderId="3" xfId="20" applyNumberFormat="1" applyFont="1" applyFill="1" applyBorder="1" applyAlignment="1">
      <alignment horizontal="right"/>
      <protection/>
    </xf>
    <xf numFmtId="0" fontId="4" fillId="0" borderId="0" xfId="20" applyFont="1" applyBorder="1">
      <alignment horizontal="left"/>
      <protection/>
    </xf>
    <xf numFmtId="164" fontId="4" fillId="0" borderId="0" xfId="20" applyNumberFormat="1" applyFont="1" applyBorder="1" applyAlignment="1">
      <alignment horizontal="right"/>
      <protection/>
    </xf>
    <xf numFmtId="164" fontId="4" fillId="0" borderId="0" xfId="20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21" applyFont="1" applyFill="1" applyBorder="1" applyAlignment="1">
      <alignment horizontal="left"/>
      <protection/>
    </xf>
    <xf numFmtId="164" fontId="0" fillId="0" borderId="0" xfId="19" applyNumberFormat="1" applyFont="1" applyBorder="1" applyAlignment="1">
      <alignment horizontal="right"/>
      <protection/>
    </xf>
    <xf numFmtId="164" fontId="0" fillId="0" borderId="0" xfId="19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64" fontId="5" fillId="0" borderId="0" xfId="19" applyNumberFormat="1" applyFont="1" applyBorder="1" applyAlignment="1">
      <alignment horizontal="right"/>
      <protection/>
    </xf>
    <xf numFmtId="164" fontId="0" fillId="0" borderId="3" xfId="19" applyNumberFormat="1" applyFont="1" applyBorder="1" applyAlignment="1">
      <alignment horizontal="right"/>
      <protection/>
    </xf>
    <xf numFmtId="164" fontId="0" fillId="0" borderId="3" xfId="19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/>
      <protection/>
    </xf>
    <xf numFmtId="167" fontId="4" fillId="0" borderId="0" xfId="19" applyNumberFormat="1" applyFont="1" applyBorder="1" applyAlignment="1">
      <alignment horizontal="right"/>
      <protection/>
    </xf>
    <xf numFmtId="167" fontId="4" fillId="0" borderId="0" xfId="19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/>
    </xf>
    <xf numFmtId="164" fontId="0" fillId="0" borderId="2" xfId="19" applyNumberFormat="1" applyFont="1" applyBorder="1" applyAlignment="1">
      <alignment horizontal="right"/>
      <protection/>
    </xf>
    <xf numFmtId="164" fontId="0" fillId="0" borderId="2" xfId="19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20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26" applyFont="1" applyFill="1" applyAlignment="1">
      <alignment horizontal="left"/>
      <protection/>
    </xf>
    <xf numFmtId="0" fontId="13" fillId="0" borderId="0" xfId="23" applyFont="1" applyAlignment="1">
      <alignment horizontal="left"/>
      <protection/>
    </xf>
    <xf numFmtId="0" fontId="4" fillId="0" borderId="0" xfId="0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23" applyFont="1" applyAlignment="1">
      <alignment horizontal="left"/>
      <protection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13" fillId="0" borderId="0" xfId="23" applyFont="1" applyAlignment="1">
      <alignment horizontal="left"/>
      <protection/>
    </xf>
    <xf numFmtId="0" fontId="6" fillId="0" borderId="0" xfId="23" applyFont="1" applyAlignment="1">
      <alignment horizontal="lef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Percent" xfId="22"/>
    <cellStyle name="Source Text" xfId="23"/>
    <cellStyle name="Title-1" xfId="24"/>
    <cellStyle name="Title-2" xfId="25"/>
    <cellStyle name="Title-3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51" sqref="A51:L51"/>
    </sheetView>
  </sheetViews>
  <sheetFormatPr defaultColWidth="9.140625" defaultRowHeight="12.75"/>
  <cols>
    <col min="1" max="1" width="14.57421875" style="0" customWidth="1"/>
  </cols>
  <sheetData>
    <row r="1" spans="1:12" ht="18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9" s="58" customFormat="1" ht="16.5" thickBot="1">
      <c r="A2" s="3" t="s">
        <v>14</v>
      </c>
      <c r="B2" s="57"/>
      <c r="C2" s="57"/>
      <c r="D2" s="57"/>
      <c r="E2" s="57"/>
      <c r="F2" s="57"/>
      <c r="G2" s="57"/>
      <c r="H2" s="57"/>
      <c r="I2" s="57"/>
    </row>
    <row r="3" spans="1:12" ht="12.75">
      <c r="A3" s="4"/>
      <c r="B3" s="5">
        <v>1975</v>
      </c>
      <c r="C3" s="5">
        <v>1980</v>
      </c>
      <c r="D3" s="5">
        <v>1985</v>
      </c>
      <c r="E3" s="5">
        <v>1990</v>
      </c>
      <c r="F3" s="5">
        <v>1995</v>
      </c>
      <c r="G3" s="5">
        <v>1996</v>
      </c>
      <c r="H3" s="5">
        <v>1997</v>
      </c>
      <c r="I3" s="6">
        <v>1998</v>
      </c>
      <c r="J3" s="2"/>
      <c r="K3" s="2"/>
      <c r="L3" s="2"/>
    </row>
    <row r="4" spans="1:12" ht="12.75">
      <c r="A4" s="7" t="s">
        <v>8</v>
      </c>
      <c r="B4" s="8"/>
      <c r="C4" s="8"/>
      <c r="D4" s="8"/>
      <c r="E4" s="8"/>
      <c r="F4" s="8"/>
      <c r="G4" s="8"/>
      <c r="H4" s="8"/>
      <c r="I4" s="9"/>
      <c r="J4" s="2"/>
      <c r="K4" s="2"/>
      <c r="L4" s="2"/>
    </row>
    <row r="5" spans="1:12" ht="12.75">
      <c r="A5" s="7" t="s">
        <v>17</v>
      </c>
      <c r="B5" s="8"/>
      <c r="C5" s="8"/>
      <c r="D5" s="8"/>
      <c r="E5" s="8"/>
      <c r="F5" s="8"/>
      <c r="G5" s="8"/>
      <c r="H5" s="8"/>
      <c r="I5" s="9"/>
      <c r="J5" s="2"/>
      <c r="K5" s="2"/>
      <c r="L5" s="2"/>
    </row>
    <row r="6" spans="1:12" ht="14.25">
      <c r="A6" s="10" t="s">
        <v>0</v>
      </c>
      <c r="B6" s="11">
        <f>0.9071847*1.609344*288</f>
        <v>420.4720091049984</v>
      </c>
      <c r="C6" s="11">
        <f>0.9071847*1.609344*362.6</f>
        <v>529.3859392412237</v>
      </c>
      <c r="D6" s="11">
        <f>0.9071847*1.609344*334.4</f>
        <v>488.2147216830259</v>
      </c>
      <c r="E6" s="11">
        <f>0.9071847*1.609344*334.8</f>
        <v>488.7987105845607</v>
      </c>
      <c r="F6" s="11">
        <f>0.9071847*1.609344*335.9</f>
        <v>490.4046800637811</v>
      </c>
      <c r="G6" s="11">
        <f>0.9071847*1.609344*338.3</f>
        <v>493.9086134729895</v>
      </c>
      <c r="H6" s="11">
        <f>0.9071847*1.609344*337.4</f>
        <v>492.5946384445363</v>
      </c>
      <c r="I6" s="12">
        <f>0.9071847*1.609344*334.1</f>
        <v>487.7767300068749</v>
      </c>
      <c r="J6" s="2"/>
      <c r="K6" s="2"/>
      <c r="L6" s="2"/>
    </row>
    <row r="7" spans="1:12" ht="14.25">
      <c r="A7" s="10" t="s">
        <v>1</v>
      </c>
      <c r="B7" s="11">
        <f>0.9071847*1.609344*40.6</f>
        <v>59.27487350577408</v>
      </c>
      <c r="C7" s="13" t="s">
        <v>16</v>
      </c>
      <c r="D7" s="11">
        <f>0.9071847*1.609344*449.2</f>
        <v>655.8195364234906</v>
      </c>
      <c r="E7" s="11">
        <f>0.9071847*1.609344*291.2</f>
        <v>425.1439203172762</v>
      </c>
      <c r="F7" s="11">
        <f>0.9071847*1.609344*247.7</f>
        <v>361.63512727537534</v>
      </c>
      <c r="G7" s="11">
        <f>0.9071847*1.609344*202.4</f>
        <v>295.4983841765683</v>
      </c>
      <c r="H7" s="11">
        <f>0.9071847*1.609344*147.3</f>
        <v>215.05391299016065</v>
      </c>
      <c r="I7" s="12">
        <f>0.9071847*1.609344*117.9</f>
        <v>172.13072872735873</v>
      </c>
      <c r="J7" s="2"/>
      <c r="K7" s="2"/>
      <c r="L7" s="2"/>
    </row>
    <row r="8" spans="1:12" ht="14.25">
      <c r="A8" s="10" t="s">
        <v>2</v>
      </c>
      <c r="B8" s="11">
        <f>0.9071847*1.609344*1.4</f>
        <v>2.04396115537152</v>
      </c>
      <c r="C8" s="11">
        <f>0.9071847*1.609344*2.5</f>
        <v>3.649930634592</v>
      </c>
      <c r="D8" s="11">
        <f>0.9071847*1.609344*1.8</f>
        <v>2.6279500569062404</v>
      </c>
      <c r="E8" s="11">
        <f>0.9071847*1.609344*1.5</f>
        <v>2.1899583807552</v>
      </c>
      <c r="F8" s="11">
        <f>0.9071847*1.609344*1.7</f>
        <v>2.48195283152256</v>
      </c>
      <c r="G8" s="11">
        <f>0.9071847*1.609344*1.7</f>
        <v>2.48195283152256</v>
      </c>
      <c r="H8" s="11">
        <f>0.9071847*1.609344*1.7</f>
        <v>2.48195283152256</v>
      </c>
      <c r="I8" s="12">
        <f>0.9071847*1.609344*1.6</f>
        <v>2.33595560613888</v>
      </c>
      <c r="J8" s="2"/>
      <c r="K8" s="2"/>
      <c r="L8" s="2"/>
    </row>
    <row r="9" spans="1:12" ht="12.75">
      <c r="A9" s="10" t="s">
        <v>3</v>
      </c>
      <c r="B9" s="14">
        <f>0.9071847*1.609344*1.5</f>
        <v>2.1899583807552</v>
      </c>
      <c r="C9" s="14">
        <f>0.9071847*1.609344*0.5</f>
        <v>0.7299861269184</v>
      </c>
      <c r="D9" s="14">
        <f>0.9071847*1.609344*0.8</f>
        <v>1.16797780306944</v>
      </c>
      <c r="E9" s="14">
        <f>0.9071847*1.609344*0.7</f>
        <v>1.02198057768576</v>
      </c>
      <c r="F9" s="14">
        <f>0.9071847*1.609344*0.8</f>
        <v>1.16797780306944</v>
      </c>
      <c r="G9" s="14">
        <f>0.9071847*1.609344*0.8</f>
        <v>1.16797780306944</v>
      </c>
      <c r="H9" s="14">
        <f>0.9071847*1.609344*0.5</f>
        <v>0.7299861269184</v>
      </c>
      <c r="I9" s="15">
        <f>0.9071847*1.609344*0.5</f>
        <v>0.7299861269184</v>
      </c>
      <c r="J9" s="2"/>
      <c r="K9" s="2"/>
      <c r="L9" s="2"/>
    </row>
    <row r="10" spans="1:12" ht="12.75">
      <c r="A10" s="16" t="s">
        <v>4</v>
      </c>
      <c r="B10" s="17">
        <f>SUM(B6:B9)</f>
        <v>483.9808021468991</v>
      </c>
      <c r="C10" s="17">
        <v>1099.3</v>
      </c>
      <c r="D10" s="17">
        <f aca="true" t="shared" si="0" ref="D10:I10">SUM(D6:D9)</f>
        <v>1147.830185966492</v>
      </c>
      <c r="E10" s="17">
        <f t="shared" si="0"/>
        <v>917.1545698602779</v>
      </c>
      <c r="F10" s="17">
        <f t="shared" si="0"/>
        <v>855.6897379737484</v>
      </c>
      <c r="G10" s="17">
        <f t="shared" si="0"/>
        <v>793.0569282841498</v>
      </c>
      <c r="H10" s="17">
        <f t="shared" si="0"/>
        <v>710.860490393138</v>
      </c>
      <c r="I10" s="18">
        <f t="shared" si="0"/>
        <v>662.973400467291</v>
      </c>
      <c r="J10" s="19"/>
      <c r="K10" s="19"/>
      <c r="L10" s="19"/>
    </row>
    <row r="11" spans="1:12" ht="12.75">
      <c r="A11" s="16"/>
      <c r="B11" s="17"/>
      <c r="C11" s="17"/>
      <c r="D11" s="17"/>
      <c r="E11" s="17"/>
      <c r="F11" s="17"/>
      <c r="G11" s="17"/>
      <c r="H11" s="17"/>
      <c r="I11" s="18"/>
      <c r="J11" s="19"/>
      <c r="K11" s="19"/>
      <c r="L11" s="19"/>
    </row>
    <row r="12" spans="1:12" ht="12.75">
      <c r="A12" s="16" t="s">
        <v>5</v>
      </c>
      <c r="B12" s="11"/>
      <c r="C12" s="11"/>
      <c r="D12" s="11"/>
      <c r="E12" s="11"/>
      <c r="F12" s="11"/>
      <c r="G12" s="11"/>
      <c r="H12" s="11"/>
      <c r="I12" s="12"/>
      <c r="J12" s="2"/>
      <c r="K12" s="2"/>
      <c r="L12" s="2"/>
    </row>
    <row r="13" spans="1:12" ht="14.25">
      <c r="A13" s="10" t="s">
        <v>0</v>
      </c>
      <c r="B13" s="11">
        <f aca="true" t="shared" si="1" ref="B13:H13">B6/B10*100</f>
        <v>86.87782805429866</v>
      </c>
      <c r="C13" s="11">
        <f t="shared" si="1"/>
        <v>48.15663961077265</v>
      </c>
      <c r="D13" s="11">
        <f t="shared" si="1"/>
        <v>42.533706436021376</v>
      </c>
      <c r="E13" s="11">
        <f t="shared" si="1"/>
        <v>53.295128939828075</v>
      </c>
      <c r="F13" s="11">
        <f t="shared" si="1"/>
        <v>57.31103907183075</v>
      </c>
      <c r="G13" s="11">
        <f t="shared" si="1"/>
        <v>62.279086892488955</v>
      </c>
      <c r="H13" s="11">
        <f t="shared" si="1"/>
        <v>69.29554323269664</v>
      </c>
      <c r="I13" s="12">
        <f>I6/I10*100</f>
        <v>73.57410262056815</v>
      </c>
      <c r="J13" s="2"/>
      <c r="K13" s="2"/>
      <c r="L13" s="2"/>
    </row>
    <row r="14" spans="1:12" ht="12.75">
      <c r="A14" s="10" t="s">
        <v>1</v>
      </c>
      <c r="B14" s="11">
        <f aca="true" t="shared" si="2" ref="B14:H14">B7/B10*100</f>
        <v>12.247360482654603</v>
      </c>
      <c r="C14" s="11">
        <f>51.4</f>
        <v>51.4</v>
      </c>
      <c r="D14" s="11">
        <f t="shared" si="2"/>
        <v>57.13558890867465</v>
      </c>
      <c r="E14" s="11">
        <f t="shared" si="2"/>
        <v>46.354664119707095</v>
      </c>
      <c r="F14" s="11">
        <f t="shared" si="2"/>
        <v>42.262412557584035</v>
      </c>
      <c r="G14" s="11">
        <f t="shared" si="2"/>
        <v>37.26067746686304</v>
      </c>
      <c r="H14" s="12">
        <f t="shared" si="2"/>
        <v>30.252618607516947</v>
      </c>
      <c r="I14" s="12">
        <f>I7/I10*100</f>
        <v>25.963444175291784</v>
      </c>
      <c r="J14" s="2"/>
      <c r="K14" s="2"/>
      <c r="L14" s="2"/>
    </row>
    <row r="15" spans="1:12" ht="14.25">
      <c r="A15" s="10" t="s">
        <v>2</v>
      </c>
      <c r="B15" s="11">
        <f aca="true" t="shared" si="3" ref="B15:H15">B8/B10*100</f>
        <v>0.4223227752639518</v>
      </c>
      <c r="C15" s="11">
        <f t="shared" si="3"/>
        <v>0.33202316333957976</v>
      </c>
      <c r="D15" s="11">
        <f t="shared" si="3"/>
        <v>0.2289493767489189</v>
      </c>
      <c r="E15" s="11">
        <f t="shared" si="3"/>
        <v>0.23877745940783188</v>
      </c>
      <c r="F15" s="11">
        <f t="shared" si="3"/>
        <v>0.2900528919979526</v>
      </c>
      <c r="G15" s="11">
        <f t="shared" si="3"/>
        <v>0.312960235640648</v>
      </c>
      <c r="H15" s="11">
        <f t="shared" si="3"/>
        <v>0.3491476689258574</v>
      </c>
      <c r="I15" s="12">
        <f>I8/I10*100</f>
        <v>0.35234529839242457</v>
      </c>
      <c r="J15" s="2"/>
      <c r="K15" s="2"/>
      <c r="L15" s="2"/>
    </row>
    <row r="16" spans="1:12" s="49" customFormat="1" ht="12.75">
      <c r="A16" s="10" t="s">
        <v>3</v>
      </c>
      <c r="B16" s="11">
        <f aca="true" t="shared" si="4" ref="B16:H16">B9/B10*100</f>
        <v>0.45248868778280554</v>
      </c>
      <c r="C16" s="11">
        <f t="shared" si="4"/>
        <v>0.06640463266791595</v>
      </c>
      <c r="D16" s="11">
        <f t="shared" si="4"/>
        <v>0.10175527855507506</v>
      </c>
      <c r="E16" s="11">
        <f t="shared" si="4"/>
        <v>0.11142948105698822</v>
      </c>
      <c r="F16" s="11">
        <f t="shared" si="4"/>
        <v>0.13649547858727182</v>
      </c>
      <c r="G16" s="11">
        <f t="shared" si="4"/>
        <v>0.1472754050073638</v>
      </c>
      <c r="H16" s="11">
        <f t="shared" si="4"/>
        <v>0.10269049086054631</v>
      </c>
      <c r="I16" s="12">
        <f>I9/I10*100</f>
        <v>0.11010790574763267</v>
      </c>
      <c r="J16" s="2"/>
      <c r="K16" s="2"/>
      <c r="L16" s="2"/>
    </row>
    <row r="17" spans="1:12" s="49" customFormat="1" ht="12.75">
      <c r="A17" s="10"/>
      <c r="B17" s="11"/>
      <c r="C17" s="11"/>
      <c r="D17" s="11"/>
      <c r="E17" s="11"/>
      <c r="F17" s="11"/>
      <c r="G17" s="11"/>
      <c r="H17" s="11"/>
      <c r="I17" s="12"/>
      <c r="J17" s="2"/>
      <c r="K17" s="2"/>
      <c r="L17" s="2"/>
    </row>
    <row r="18" spans="1:12" ht="12.75">
      <c r="A18" s="16" t="s">
        <v>9</v>
      </c>
      <c r="B18" s="11"/>
      <c r="C18" s="11"/>
      <c r="D18" s="11"/>
      <c r="E18" s="11"/>
      <c r="F18" s="11"/>
      <c r="G18" s="11"/>
      <c r="H18" s="11"/>
      <c r="I18" s="12"/>
      <c r="J18" s="2"/>
      <c r="K18" s="2"/>
      <c r="L18" s="2"/>
    </row>
    <row r="19" spans="1:9" ht="12.75">
      <c r="A19" s="23" t="s">
        <v>17</v>
      </c>
      <c r="B19" s="24"/>
      <c r="C19" s="24"/>
      <c r="D19" s="24"/>
      <c r="E19" s="24"/>
      <c r="F19" s="24"/>
      <c r="G19" s="24"/>
      <c r="H19" s="24"/>
      <c r="I19" s="25"/>
    </row>
    <row r="20" spans="1:9" ht="14.25">
      <c r="A20" s="26" t="s">
        <v>0</v>
      </c>
      <c r="B20" s="27">
        <f>0.9071847*1.609344*219</f>
        <v>319.7339235902592</v>
      </c>
      <c r="C20" s="27">
        <f>0.9071847*1.609344*225.6</f>
        <v>329.3697404655821</v>
      </c>
      <c r="D20" s="27">
        <f>0.9071847*1.609344*229.9</f>
        <v>335.6476211570803</v>
      </c>
      <c r="E20" s="27">
        <f>0.9071847*1.609344*249.3</f>
        <v>363.9710828815143</v>
      </c>
      <c r="F20" s="27">
        <f>0.9071847*1.609344*265.2</f>
        <v>387.18464171751936</v>
      </c>
      <c r="G20" s="27">
        <f>0.9071847*1.609344*280.9</f>
        <v>410.1062061027571</v>
      </c>
      <c r="H20" s="27">
        <f>0.9071847*1.609344*279.1</f>
        <v>407.4782560458509</v>
      </c>
      <c r="I20" s="28">
        <f>0.9071847*1.609344*285.7</f>
        <v>417.1140729211738</v>
      </c>
    </row>
    <row r="21" spans="1:9" ht="12.75">
      <c r="A21" s="26" t="s">
        <v>1</v>
      </c>
      <c r="B21" s="27">
        <f>0.9071847*1.609344*257.4</f>
        <v>375.7968581375923</v>
      </c>
      <c r="C21" s="27">
        <f>0.9071847*1.609344*230.4</f>
        <v>336.37760728399877</v>
      </c>
      <c r="D21" s="27">
        <f>0.9071847*1.609344*141.2</f>
        <v>206.14808224175616</v>
      </c>
      <c r="E21" s="27">
        <f>0.9071847*1.609344*157.8</f>
        <v>230.38362165544706</v>
      </c>
      <c r="F21" s="27">
        <f>0.9071847*1.609344*153.2</f>
        <v>223.66774928779776</v>
      </c>
      <c r="G21" s="27">
        <f>0.9071847*1.609344*154.1</f>
        <v>224.98172431625088</v>
      </c>
      <c r="H21" s="27">
        <f>0.9071847*1.609344*148.3</f>
        <v>216.51388524399746</v>
      </c>
      <c r="I21" s="28">
        <f>0.9071847*1.609344*147.1</f>
        <v>214.7619185393933</v>
      </c>
    </row>
    <row r="22" spans="1:9" ht="14.25">
      <c r="A22" s="26" t="s">
        <v>2</v>
      </c>
      <c r="B22" s="27">
        <f>0.9071847*1.609344*26.2</f>
        <v>38.25127305052416</v>
      </c>
      <c r="C22" s="27">
        <f>0.9071847*1.609344*24.3</f>
        <v>35.477325768234245</v>
      </c>
      <c r="D22" s="27">
        <f>0.9071847*1.609344*26.9</f>
        <v>39.27325362820992</v>
      </c>
      <c r="E22" s="27">
        <f>0.9071847*1.609344*28.2</f>
        <v>41.17121755819776</v>
      </c>
      <c r="F22" s="27">
        <f>0.9071847*1.609344*24.6</f>
        <v>35.91531744438528</v>
      </c>
      <c r="G22" s="27">
        <f>0.9071847*1.609344*28</f>
        <v>40.879223107430406</v>
      </c>
      <c r="H22" s="27">
        <f>0.9071847*1.609344*26</f>
        <v>37.9592785997568</v>
      </c>
      <c r="I22" s="28">
        <f>0.9071847*1.609344*26.7</f>
        <v>38.98125917744256</v>
      </c>
    </row>
    <row r="23" spans="1:9" ht="12.75">
      <c r="A23" s="26" t="s">
        <v>3</v>
      </c>
      <c r="B23" s="29">
        <f>0.9071847*1.609344*12.6</f>
        <v>18.39565039834368</v>
      </c>
      <c r="C23" s="29">
        <f>0.9071847*1.609344*12</f>
        <v>17.5196670460416</v>
      </c>
      <c r="D23" s="29">
        <f>0.9071847*1.609344*11.3</f>
        <v>16.49768646835584</v>
      </c>
      <c r="E23" s="29">
        <f>0.9071847*1.609344*13.3</f>
        <v>19.417630976029443</v>
      </c>
      <c r="F23" s="29">
        <f>0.9071847*1.609344*15.9</f>
        <v>23.21355883600512</v>
      </c>
      <c r="G23" s="29">
        <f>0.9071847*1.609344*16</f>
        <v>23.3595560613888</v>
      </c>
      <c r="H23" s="29">
        <f>0.9071847*1.609344*16.2</f>
        <v>23.65155051215616</v>
      </c>
      <c r="I23" s="30">
        <f>0.9071847*1.609344*16.2</f>
        <v>23.65155051215616</v>
      </c>
    </row>
    <row r="24" spans="1:9" ht="12.75">
      <c r="A24" s="31" t="s">
        <v>4</v>
      </c>
      <c r="B24" s="32">
        <f aca="true" t="shared" si="5" ref="B24:I24">SUM(B20:B23)</f>
        <v>752.1777051767193</v>
      </c>
      <c r="C24" s="32">
        <f t="shared" si="5"/>
        <v>718.7443405638567</v>
      </c>
      <c r="D24" s="32">
        <f t="shared" si="5"/>
        <v>597.5666434954022</v>
      </c>
      <c r="E24" s="32">
        <f t="shared" si="5"/>
        <v>654.9435530711885</v>
      </c>
      <c r="F24" s="32">
        <f t="shared" si="5"/>
        <v>669.9812672857076</v>
      </c>
      <c r="G24" s="32">
        <f t="shared" si="5"/>
        <v>699.3267095878273</v>
      </c>
      <c r="H24" s="32">
        <f t="shared" si="5"/>
        <v>685.6029704017614</v>
      </c>
      <c r="I24" s="33">
        <f t="shared" si="5"/>
        <v>694.5088011501658</v>
      </c>
    </row>
    <row r="25" spans="1:9" ht="12.75">
      <c r="A25" s="31"/>
      <c r="B25" s="32"/>
      <c r="C25" s="32"/>
      <c r="D25" s="32"/>
      <c r="E25" s="32"/>
      <c r="F25" s="32"/>
      <c r="G25" s="32"/>
      <c r="H25" s="32"/>
      <c r="I25" s="33"/>
    </row>
    <row r="26" spans="1:9" ht="12.75">
      <c r="A26" s="31" t="s">
        <v>5</v>
      </c>
      <c r="B26" s="32"/>
      <c r="C26" s="32"/>
      <c r="D26" s="32"/>
      <c r="E26" s="32"/>
      <c r="F26" s="32"/>
      <c r="G26" s="32"/>
      <c r="H26" s="32"/>
      <c r="I26" s="33"/>
    </row>
    <row r="27" spans="1:9" ht="14.25">
      <c r="A27" s="26" t="s">
        <v>0</v>
      </c>
      <c r="B27" s="27">
        <f aca="true" t="shared" si="6" ref="B27:I27">B20/B$10*100</f>
        <v>66.06334841628961</v>
      </c>
      <c r="C27" s="27">
        <f t="shared" si="6"/>
        <v>29.961770259763675</v>
      </c>
      <c r="D27" s="27">
        <f t="shared" si="6"/>
        <v>29.241923174764693</v>
      </c>
      <c r="E27" s="27">
        <f t="shared" si="6"/>
        <v>39.68481375358166</v>
      </c>
      <c r="F27" s="27">
        <f t="shared" si="6"/>
        <v>45.248251151680606</v>
      </c>
      <c r="G27" s="27">
        <f t="shared" si="6"/>
        <v>51.712076583210596</v>
      </c>
      <c r="H27" s="27">
        <f t="shared" si="6"/>
        <v>57.321831998356956</v>
      </c>
      <c r="I27" s="27">
        <f t="shared" si="6"/>
        <v>62.91565734419731</v>
      </c>
    </row>
    <row r="28" spans="1:9" ht="12.75">
      <c r="A28" s="26" t="s">
        <v>1</v>
      </c>
      <c r="B28" s="27">
        <f aca="true" t="shared" si="7" ref="B28:I28">B21/B$10*100</f>
        <v>77.64705882352942</v>
      </c>
      <c r="C28" s="27">
        <f t="shared" si="7"/>
        <v>30.599254733375673</v>
      </c>
      <c r="D28" s="27">
        <f t="shared" si="7"/>
        <v>17.959806664970746</v>
      </c>
      <c r="E28" s="27">
        <f t="shared" si="7"/>
        <v>25.11938872970391</v>
      </c>
      <c r="F28" s="27">
        <f t="shared" si="7"/>
        <v>26.138884149462555</v>
      </c>
      <c r="G28" s="27">
        <f t="shared" si="7"/>
        <v>28.368924889543447</v>
      </c>
      <c r="H28" s="27">
        <f t="shared" si="7"/>
        <v>30.45799958923804</v>
      </c>
      <c r="I28" s="28">
        <f t="shared" si="7"/>
        <v>32.39374587095353</v>
      </c>
    </row>
    <row r="29" spans="1:12" ht="14.25">
      <c r="A29" s="26" t="s">
        <v>2</v>
      </c>
      <c r="B29" s="27">
        <f>B22/B$10*100</f>
        <v>7.903469079939669</v>
      </c>
      <c r="C29" s="27">
        <f aca="true" t="shared" si="8" ref="C29:I29">C22/C$10*100</f>
        <v>3.2272651476607157</v>
      </c>
      <c r="D29" s="27">
        <f t="shared" si="8"/>
        <v>3.4215212414143985</v>
      </c>
      <c r="E29" s="27">
        <f t="shared" si="8"/>
        <v>4.489016236867239</v>
      </c>
      <c r="F29" s="27">
        <f t="shared" si="8"/>
        <v>4.197235966558608</v>
      </c>
      <c r="G29" s="28">
        <f t="shared" si="8"/>
        <v>5.154639175257732</v>
      </c>
      <c r="H29" s="27">
        <f t="shared" si="8"/>
        <v>5.339905524748407</v>
      </c>
      <c r="I29" s="28">
        <f t="shared" si="8"/>
        <v>5.879762166923584</v>
      </c>
      <c r="J29" s="22"/>
      <c r="K29" s="22"/>
      <c r="L29" s="22"/>
    </row>
    <row r="30" spans="1:12" ht="12.75">
      <c r="A30" s="26" t="s">
        <v>3</v>
      </c>
      <c r="B30" s="27">
        <f>B23/B$10*100</f>
        <v>3.800904977375566</v>
      </c>
      <c r="C30" s="27">
        <f aca="true" t="shared" si="9" ref="C30:I30">C23/C$10*100</f>
        <v>1.593711184029983</v>
      </c>
      <c r="D30" s="27">
        <f t="shared" si="9"/>
        <v>1.4372933095904352</v>
      </c>
      <c r="E30" s="27">
        <f t="shared" si="9"/>
        <v>2.117160140082776</v>
      </c>
      <c r="F30" s="27">
        <f t="shared" si="9"/>
        <v>2.7128476369220276</v>
      </c>
      <c r="G30" s="27">
        <f t="shared" si="9"/>
        <v>2.9455081001472756</v>
      </c>
      <c r="H30" s="27">
        <f t="shared" si="9"/>
        <v>3.3271719038817005</v>
      </c>
      <c r="I30" s="28">
        <f t="shared" si="9"/>
        <v>3.5674961462232986</v>
      </c>
      <c r="J30" s="22"/>
      <c r="K30" s="22"/>
      <c r="L30" s="22"/>
    </row>
    <row r="31" spans="1:12" ht="12.75">
      <c r="A31" s="26"/>
      <c r="B31" s="27"/>
      <c r="C31" s="27"/>
      <c r="D31" s="27"/>
      <c r="E31" s="27"/>
      <c r="F31" s="27"/>
      <c r="G31" s="27"/>
      <c r="H31" s="27"/>
      <c r="I31" s="28"/>
      <c r="J31" s="22"/>
      <c r="K31" s="22"/>
      <c r="L31" s="22"/>
    </row>
    <row r="32" spans="1:12" s="52" customFormat="1" ht="12.75">
      <c r="A32" s="53" t="s">
        <v>15</v>
      </c>
      <c r="B32" s="51"/>
      <c r="C32" s="51"/>
      <c r="D32" s="51"/>
      <c r="E32" s="51"/>
      <c r="F32" s="51"/>
      <c r="G32" s="51"/>
      <c r="H32" s="51"/>
      <c r="I32" s="51"/>
      <c r="J32" s="50"/>
      <c r="K32" s="50"/>
      <c r="L32" s="50"/>
    </row>
    <row r="33" spans="1:12" ht="12.75">
      <c r="A33" s="54" t="s">
        <v>17</v>
      </c>
      <c r="B33" s="25"/>
      <c r="C33" s="25"/>
      <c r="D33" s="25"/>
      <c r="E33" s="25"/>
      <c r="F33" s="25"/>
      <c r="G33" s="25"/>
      <c r="H33" s="25"/>
      <c r="I33" s="25"/>
      <c r="J33" s="22"/>
      <c r="K33" s="22"/>
      <c r="L33" s="22"/>
    </row>
    <row r="34" spans="1:12" ht="14.25">
      <c r="A34" s="36" t="s">
        <v>0</v>
      </c>
      <c r="B34" s="37">
        <f>0.9071847*1.609344*507</f>
        <v>740.2059326952576</v>
      </c>
      <c r="C34" s="37">
        <f>0.9071847*1.609344*588.2</f>
        <v>858.7556797068058</v>
      </c>
      <c r="D34" s="37">
        <f>0.9071847*1.609344*564.3</f>
        <v>823.8623428401062</v>
      </c>
      <c r="E34" s="37">
        <f>0.9071847*1.609344*584.1</f>
        <v>852.7697934660749</v>
      </c>
      <c r="F34" s="37">
        <f>0.9071847*1.609344*601.1</f>
        <v>877.5893217813006</v>
      </c>
      <c r="G34" s="37">
        <f>0.9071847*1.609344*619.2</f>
        <v>904.0148195757466</v>
      </c>
      <c r="H34" s="37">
        <f>0.9071847*1.609344*616.5</f>
        <v>900.0728944903873</v>
      </c>
      <c r="I34" s="38">
        <f>0.9071847*1.609344*619.8</f>
        <v>904.8908029280486</v>
      </c>
      <c r="J34" s="22"/>
      <c r="K34" s="22"/>
      <c r="L34" s="22"/>
    </row>
    <row r="35" spans="1:12" ht="14.25">
      <c r="A35" s="39" t="s">
        <v>1</v>
      </c>
      <c r="B35" s="37">
        <f>0.9071847*1.609344*298</f>
        <v>435.07173164336643</v>
      </c>
      <c r="C35" s="40" t="s">
        <v>19</v>
      </c>
      <c r="D35" s="37">
        <f>0.9071847*1.609344*590.4</f>
        <v>861.9676186652467</v>
      </c>
      <c r="E35" s="37">
        <f>0.9071847*1.609344*449</f>
        <v>655.5275419727233</v>
      </c>
      <c r="F35" s="37">
        <f>0.9071847*1.609344*400.9</f>
        <v>585.3028765631731</v>
      </c>
      <c r="G35" s="37">
        <f>0.9071847*1.609344*356.5</f>
        <v>520.4801084928192</v>
      </c>
      <c r="H35" s="37">
        <f>0.9071847*1.609344*295.6</f>
        <v>431.56779823415815</v>
      </c>
      <c r="I35" s="38">
        <f>0.9071847*1.609344*265</f>
        <v>386.892647266752</v>
      </c>
      <c r="J35" s="22"/>
      <c r="K35" s="22"/>
      <c r="L35" s="22"/>
    </row>
    <row r="36" spans="1:12" ht="14.25">
      <c r="A36" s="39" t="s">
        <v>2</v>
      </c>
      <c r="B36" s="37">
        <f>0.9071847*1.609344*27.6</f>
        <v>40.29523420589568</v>
      </c>
      <c r="C36" s="37">
        <f>0.9071847*1.609344*26.8</f>
        <v>39.12725640282624</v>
      </c>
      <c r="D36" s="37">
        <f>0.9071847*1.609344*28.7</f>
        <v>41.90120368511616</v>
      </c>
      <c r="E36" s="37">
        <f>0.9071847*1.609344*29.7</f>
        <v>43.36117593895296</v>
      </c>
      <c r="F36" s="37">
        <f>0.9071847*1.609344*26.3</f>
        <v>38.39727027590784</v>
      </c>
      <c r="G36" s="37">
        <f>0.9071847*1.609344*29.7</f>
        <v>43.36117593895296</v>
      </c>
      <c r="H36" s="37">
        <f>0.9071847*1.609344*27.7</f>
        <v>40.44123143127936</v>
      </c>
      <c r="I36" s="38">
        <f>0.9071847*1.609344*28.3</f>
        <v>41.31721478358144</v>
      </c>
      <c r="J36" s="22"/>
      <c r="K36" s="22"/>
      <c r="L36" s="22"/>
    </row>
    <row r="37" spans="1:12" ht="12.75">
      <c r="A37" s="39" t="s">
        <v>3</v>
      </c>
      <c r="B37" s="41">
        <f>0.9071847*1.609344*14.1</f>
        <v>20.58560877909888</v>
      </c>
      <c r="C37" s="41">
        <f>0.9071847*1.609344*12.5</f>
        <v>18.249653172960002</v>
      </c>
      <c r="D37" s="41">
        <f>0.9071847*1.609344*12.1</f>
        <v>17.665664271425282</v>
      </c>
      <c r="E37" s="41">
        <f>0.9071847*1.609344*14</f>
        <v>20.439611553715203</v>
      </c>
      <c r="F37" s="41">
        <f>0.9071847*1.609344*16.6</f>
        <v>24.235539413690883</v>
      </c>
      <c r="G37" s="41">
        <f>0.9071847*1.609344*16.8</f>
        <v>24.527533864458242</v>
      </c>
      <c r="H37" s="41">
        <f>0.9071847*1.609344*16.7</f>
        <v>24.38153663907456</v>
      </c>
      <c r="I37" s="42">
        <f>0.9071847*1.609344*16.7</f>
        <v>24.38153663907456</v>
      </c>
      <c r="J37" s="22"/>
      <c r="K37" s="22"/>
      <c r="L37" s="22"/>
    </row>
    <row r="38" spans="1:12" ht="12.75">
      <c r="A38" s="43" t="s">
        <v>4</v>
      </c>
      <c r="B38" s="44">
        <v>1236.2</v>
      </c>
      <c r="C38" s="44">
        <v>1818.1</v>
      </c>
      <c r="D38" s="44">
        <f aca="true" t="shared" si="10" ref="D38:I38">SUM(D34:D37)</f>
        <v>1745.3968294618944</v>
      </c>
      <c r="E38" s="44">
        <f t="shared" si="10"/>
        <v>1572.0981229314664</v>
      </c>
      <c r="F38" s="44">
        <f t="shared" si="10"/>
        <v>1525.5250080340725</v>
      </c>
      <c r="G38" s="44">
        <f t="shared" si="10"/>
        <v>1492.3836378719773</v>
      </c>
      <c r="H38" s="44">
        <f t="shared" si="10"/>
        <v>1396.4634607948994</v>
      </c>
      <c r="I38" s="45">
        <f t="shared" si="10"/>
        <v>1357.4822016174567</v>
      </c>
      <c r="J38" s="22"/>
      <c r="K38" s="22"/>
      <c r="L38" s="22"/>
    </row>
    <row r="39" spans="1:12" ht="12.75">
      <c r="A39" s="43"/>
      <c r="B39" s="44"/>
      <c r="C39" s="44"/>
      <c r="D39" s="44"/>
      <c r="E39" s="44"/>
      <c r="F39" s="44"/>
      <c r="G39" s="44"/>
      <c r="H39" s="44"/>
      <c r="I39" s="45"/>
      <c r="J39" s="22"/>
      <c r="K39" s="22"/>
      <c r="L39" s="22"/>
    </row>
    <row r="40" spans="1:12" ht="12.75">
      <c r="A40" s="56" t="s">
        <v>5</v>
      </c>
      <c r="B40" s="38"/>
      <c r="C40" s="38"/>
      <c r="D40" s="38"/>
      <c r="E40" s="38"/>
      <c r="F40" s="38"/>
      <c r="G40" s="38"/>
      <c r="H40" s="38"/>
      <c r="I40" s="38"/>
      <c r="J40" s="34"/>
      <c r="K40" s="34"/>
      <c r="L40" s="34"/>
    </row>
    <row r="41" spans="1:12" ht="14.25">
      <c r="A41" s="36" t="s">
        <v>0</v>
      </c>
      <c r="B41" s="37">
        <f aca="true" t="shared" si="11" ref="B41:I41">B34/B38*100</f>
        <v>59.87752246361896</v>
      </c>
      <c r="C41" s="37">
        <f t="shared" si="11"/>
        <v>47.23368789982982</v>
      </c>
      <c r="D41" s="37">
        <f t="shared" si="11"/>
        <v>47.20200752823086</v>
      </c>
      <c r="E41" s="37">
        <f t="shared" si="11"/>
        <v>54.24405646359583</v>
      </c>
      <c r="F41" s="37">
        <f t="shared" si="11"/>
        <v>57.527036080007655</v>
      </c>
      <c r="G41" s="37">
        <f t="shared" si="11"/>
        <v>60.57522989630208</v>
      </c>
      <c r="H41" s="37">
        <f t="shared" si="11"/>
        <v>64.4537375849451</v>
      </c>
      <c r="I41" s="37">
        <f t="shared" si="11"/>
        <v>66.65949666594967</v>
      </c>
      <c r="J41" s="35"/>
      <c r="K41" s="35"/>
      <c r="L41" s="35"/>
    </row>
    <row r="42" spans="1:12" ht="12.75">
      <c r="A42" s="39" t="s">
        <v>1</v>
      </c>
      <c r="B42" s="37">
        <f>B35/B38*100</f>
        <v>35.19428342043087</v>
      </c>
      <c r="C42" s="37">
        <v>49.6</v>
      </c>
      <c r="D42" s="37">
        <f aca="true" t="shared" si="12" ref="D42:I42">D35/D38*100</f>
        <v>49.38519447929737</v>
      </c>
      <c r="E42" s="37">
        <f t="shared" si="12"/>
        <v>41.69762258543834</v>
      </c>
      <c r="F42" s="37">
        <f t="shared" si="12"/>
        <v>38.367307876351795</v>
      </c>
      <c r="G42" s="37">
        <f t="shared" si="12"/>
        <v>34.875758168655835</v>
      </c>
      <c r="H42" s="37">
        <f t="shared" si="12"/>
        <v>30.904338734971248</v>
      </c>
      <c r="I42" s="38">
        <f t="shared" si="12"/>
        <v>28.500752850075283</v>
      </c>
      <c r="J42" s="22"/>
      <c r="K42" s="22"/>
      <c r="L42" s="22"/>
    </row>
    <row r="43" spans="1:12" ht="14.25">
      <c r="A43" s="39" t="s">
        <v>2</v>
      </c>
      <c r="B43" s="37">
        <f aca="true" t="shared" si="13" ref="B43:I43">B36/B38*100</f>
        <v>3.2596047731674225</v>
      </c>
      <c r="C43" s="37">
        <f t="shared" si="13"/>
        <v>2.1520959464730347</v>
      </c>
      <c r="D43" s="37">
        <f t="shared" si="13"/>
        <v>2.400669176076955</v>
      </c>
      <c r="E43" s="37">
        <f t="shared" si="13"/>
        <v>2.7581723625557206</v>
      </c>
      <c r="F43" s="37">
        <f t="shared" si="13"/>
        <v>2.5169872715092354</v>
      </c>
      <c r="G43" s="37">
        <f t="shared" si="13"/>
        <v>2.9054979456075127</v>
      </c>
      <c r="H43" s="37">
        <f t="shared" si="13"/>
        <v>2.895974908520648</v>
      </c>
      <c r="I43" s="38">
        <f t="shared" si="13"/>
        <v>3.0436653043665305</v>
      </c>
      <c r="J43" s="22"/>
      <c r="K43" s="22"/>
      <c r="L43" s="22"/>
    </row>
    <row r="44" spans="1:12" ht="13.5" thickBot="1">
      <c r="A44" s="46" t="s">
        <v>3</v>
      </c>
      <c r="B44" s="47">
        <f aca="true" t="shared" si="14" ref="B44:I44">B37/B38*100</f>
        <v>1.6652328732485746</v>
      </c>
      <c r="C44" s="47">
        <f t="shared" si="14"/>
        <v>1.0037760944370497</v>
      </c>
      <c r="D44" s="47">
        <f t="shared" si="14"/>
        <v>1.0121288163948141</v>
      </c>
      <c r="E44" s="47">
        <f t="shared" si="14"/>
        <v>1.300148588410104</v>
      </c>
      <c r="F44" s="47">
        <f t="shared" si="14"/>
        <v>1.5886687721313044</v>
      </c>
      <c r="G44" s="47">
        <f t="shared" si="14"/>
        <v>1.6435139894345525</v>
      </c>
      <c r="H44" s="47">
        <v>1.8</v>
      </c>
      <c r="I44" s="48">
        <f t="shared" si="14"/>
        <v>1.796085179608518</v>
      </c>
      <c r="J44" s="22"/>
      <c r="K44" s="22"/>
      <c r="L44" s="22"/>
    </row>
    <row r="45" spans="1:12" ht="12" customHeight="1">
      <c r="A45" s="63" t="s">
        <v>10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12" customHeight="1">
      <c r="A46" s="64" t="s">
        <v>11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2" customHeight="1">
      <c r="A47" s="59" t="s">
        <v>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12" customHeight="1">
      <c r="A48" s="55" t="s">
        <v>13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" customHeight="1">
      <c r="A49" s="20" t="s">
        <v>12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2" customHeight="1">
      <c r="A50" s="60" t="s">
        <v>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ht="12.75">
      <c r="A51" s="62" t="s">
        <v>20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3" spans="10:12" ht="12.75">
      <c r="J53" s="22"/>
      <c r="K53" s="22"/>
      <c r="L53" s="22"/>
    </row>
    <row r="54" spans="10:12" ht="12.75">
      <c r="J54" s="22"/>
      <c r="K54" s="22"/>
      <c r="L54" s="22"/>
    </row>
    <row r="55" spans="10:12" ht="12.75">
      <c r="J55" s="22"/>
      <c r="K55" s="22"/>
      <c r="L55" s="22"/>
    </row>
    <row r="56" spans="10:12" ht="12.75">
      <c r="J56" s="22"/>
      <c r="K56" s="22"/>
      <c r="L56" s="22"/>
    </row>
    <row r="57" spans="10:12" ht="12.75">
      <c r="J57" s="22"/>
      <c r="K57" s="22"/>
      <c r="L57" s="22"/>
    </row>
    <row r="58" spans="10:12" ht="12.75">
      <c r="J58" s="22"/>
      <c r="K58" s="22"/>
      <c r="L58" s="22"/>
    </row>
    <row r="59" spans="10:12" ht="12.75">
      <c r="J59" s="22"/>
      <c r="K59" s="22"/>
      <c r="L59" s="22"/>
    </row>
    <row r="60" spans="10:12" ht="12.75">
      <c r="J60" s="22"/>
      <c r="K60" s="22"/>
      <c r="L60" s="22"/>
    </row>
    <row r="61" spans="10:12" ht="12.75">
      <c r="J61" s="22"/>
      <c r="K61" s="22"/>
      <c r="L61" s="22"/>
    </row>
    <row r="62" spans="10:12" ht="12.75">
      <c r="J62" s="22"/>
      <c r="K62" s="22"/>
      <c r="L62" s="22"/>
    </row>
    <row r="63" spans="10:12" ht="12.75">
      <c r="J63" s="2"/>
      <c r="K63" s="2"/>
      <c r="L63" s="2"/>
    </row>
  </sheetData>
  <mergeCells count="5">
    <mergeCell ref="A47:L47"/>
    <mergeCell ref="A50:L50"/>
    <mergeCell ref="A51:L51"/>
    <mergeCell ref="A45:L45"/>
    <mergeCell ref="A46:L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Tthomas</cp:lastModifiedBy>
  <cp:lastPrinted>2000-12-05T21:23:48Z</cp:lastPrinted>
  <dcterms:created xsi:type="dcterms:W3CDTF">2000-12-05T19:41:39Z</dcterms:created>
  <dcterms:modified xsi:type="dcterms:W3CDTF">2001-04-30T15:38:55Z</dcterms:modified>
  <cp:category/>
  <cp:version/>
  <cp:contentType/>
  <cp:contentStatus/>
</cp:coreProperties>
</file>