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8040" windowHeight="3645" activeTab="0"/>
  </bookViews>
  <sheets>
    <sheet name="1-23" sheetId="1" r:id="rId1"/>
  </sheets>
  <definedNames>
    <definedName name="_xlnm.Print_Area" localSheetId="0">'1-23'!$A$1:$L$110</definedName>
  </definedNames>
  <calcPr fullCalcOnLoad="1"/>
</workbook>
</file>

<file path=xl/sharedStrings.xml><?xml version="1.0" encoding="utf-8"?>
<sst xmlns="http://schemas.openxmlformats.org/spreadsheetml/2006/main" count="302" uniqueCount="81">
  <si>
    <r>
      <t>SOURCES:</t>
    </r>
    <r>
      <rPr>
        <sz val="9"/>
        <rFont val="Arial"/>
        <family val="2"/>
      </rPr>
      <t xml:space="preserve">  1990-92:  U.S. Department of Transportation, Federal Highway Administration, </t>
    </r>
    <r>
      <rPr>
        <i/>
        <sz val="9"/>
        <rFont val="Arial"/>
        <family val="2"/>
      </rPr>
      <t xml:space="preserve">Highway Statistics </t>
    </r>
    <r>
      <rPr>
        <sz val="9"/>
        <rFont val="Arial"/>
        <family val="2"/>
      </rPr>
      <t>(Washington, DC: Annual issues), table HM-63.</t>
    </r>
  </si>
  <si>
    <t>Rural</t>
  </si>
  <si>
    <t xml:space="preserve">  Miles reported</t>
  </si>
  <si>
    <t xml:space="preserve">  Poor (%)</t>
  </si>
  <si>
    <t xml:space="preserve">  Mediocre (%)</t>
  </si>
  <si>
    <t>a</t>
  </si>
  <si>
    <t xml:space="preserve">  Fair (%)</t>
  </si>
  <si>
    <t xml:space="preserve">  Good (%)</t>
  </si>
  <si>
    <t xml:space="preserve">  Very good (%)</t>
  </si>
  <si>
    <t xml:space="preserve">  Unpaved (%)</t>
  </si>
  <si>
    <t>N</t>
  </si>
  <si>
    <t xml:space="preserve">  Miles not reported</t>
  </si>
  <si>
    <t>Urban</t>
  </si>
  <si>
    <t xml:space="preserve">Other freeways </t>
  </si>
  <si>
    <t>and expressways</t>
  </si>
  <si>
    <t>Interstates</t>
  </si>
  <si>
    <t>Other principal arterials</t>
  </si>
  <si>
    <t>Minor arterials</t>
  </si>
  <si>
    <t>Major collectors</t>
  </si>
  <si>
    <t>Collectors</t>
  </si>
  <si>
    <t>Percents may not add to totals due to rounding.</t>
  </si>
  <si>
    <t>Data are for the 50 states and the District of Columbia.</t>
  </si>
  <si>
    <t>=</t>
  </si>
  <si>
    <t>U</t>
  </si>
  <si>
    <t>Table 1-23:  Condition of U.S. Roadways by Functional System</t>
  </si>
  <si>
    <r>
      <t>R</t>
    </r>
    <r>
      <rPr>
        <sz val="11"/>
        <rFont val="Arial Narrow"/>
        <family val="2"/>
      </rPr>
      <t>37.2</t>
    </r>
  </si>
  <si>
    <r>
      <t>R</t>
    </r>
    <r>
      <rPr>
        <b/>
        <sz val="11"/>
        <rFont val="Arial Narrow"/>
        <family val="2"/>
      </rPr>
      <t>10,978</t>
    </r>
  </si>
  <si>
    <r>
      <t>R</t>
    </r>
    <r>
      <rPr>
        <b/>
        <sz val="11"/>
        <rFont val="Arial Narrow"/>
        <family val="2"/>
      </rPr>
      <t>171,134</t>
    </r>
  </si>
  <si>
    <r>
      <t>R</t>
    </r>
    <r>
      <rPr>
        <sz val="11"/>
        <rFont val="Arial Narrow"/>
        <family val="2"/>
      </rPr>
      <t>8.8</t>
    </r>
  </si>
  <si>
    <r>
      <t>R</t>
    </r>
    <r>
      <rPr>
        <sz val="11"/>
        <rFont val="Arial Narrow"/>
        <family val="2"/>
      </rPr>
      <t>13.0</t>
    </r>
  </si>
  <si>
    <r>
      <t>R</t>
    </r>
    <r>
      <rPr>
        <sz val="11"/>
        <rFont val="Arial Narrow"/>
        <family val="2"/>
      </rPr>
      <t>34.4</t>
    </r>
  </si>
  <si>
    <r>
      <t>R</t>
    </r>
    <r>
      <rPr>
        <sz val="11"/>
        <rFont val="Arial Narrow"/>
        <family val="2"/>
      </rPr>
      <t>33.5</t>
    </r>
  </si>
  <si>
    <r>
      <t>R</t>
    </r>
    <r>
      <rPr>
        <sz val="11"/>
        <rFont val="Arial Narrow"/>
        <family val="2"/>
      </rPr>
      <t>21.3</t>
    </r>
  </si>
  <si>
    <r>
      <t>R</t>
    </r>
    <r>
      <rPr>
        <sz val="11"/>
        <rFont val="Arial Narrow"/>
        <family val="2"/>
      </rPr>
      <t>23.4</t>
    </r>
  </si>
  <si>
    <r>
      <t xml:space="preserve">  Miles not reported</t>
    </r>
    <r>
      <rPr>
        <b/>
        <vertAlign val="superscript"/>
        <sz val="11"/>
        <rFont val="Arial Narrow"/>
        <family val="2"/>
      </rPr>
      <t>b</t>
    </r>
  </si>
  <si>
    <r>
      <t>R</t>
    </r>
    <r>
      <rPr>
        <b/>
        <sz val="11"/>
        <rFont val="Arial Narrow"/>
        <family val="2"/>
      </rPr>
      <t>217,566</t>
    </r>
  </si>
  <si>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</si>
  <si>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</si>
  <si>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</si>
  <si>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</si>
  <si>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</si>
  <si>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</si>
  <si>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</si>
  <si>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</si>
  <si>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</si>
  <si>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</si>
  <si>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</si>
  <si>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t>–</t>
  </si>
  <si>
    <r>
      <t>R</t>
    </r>
    <r>
      <rPr>
        <b/>
        <sz val="11"/>
        <rFont val="Arial Narrow"/>
        <family val="2"/>
      </rPr>
      <t>617</t>
    </r>
  </si>
  <si>
    <r>
      <t>R</t>
    </r>
    <r>
      <rPr>
        <b/>
        <sz val="11"/>
        <rFont val="Arial Narrow"/>
        <family val="2"/>
      </rPr>
      <t>45,275</t>
    </r>
  </si>
  <si>
    <r>
      <t>R</t>
    </r>
    <r>
      <rPr>
        <sz val="11"/>
        <rFont val="Arial Narrow"/>
        <family val="2"/>
      </rPr>
      <t>5.7</t>
    </r>
  </si>
  <si>
    <r>
      <t>R</t>
    </r>
    <r>
      <rPr>
        <sz val="11"/>
        <rFont val="Arial Narrow"/>
        <family val="2"/>
      </rPr>
      <t>36.0</t>
    </r>
  </si>
  <si>
    <r>
      <t>R</t>
    </r>
    <r>
      <rPr>
        <sz val="11"/>
        <rFont val="Arial Narrow"/>
        <family val="2"/>
      </rPr>
      <t>22.1</t>
    </r>
  </si>
  <si>
    <r>
      <t>R</t>
    </r>
    <r>
      <rPr>
        <sz val="11"/>
        <rFont val="Arial Narrow"/>
        <family val="2"/>
      </rPr>
      <t>24.0</t>
    </r>
  </si>
  <si>
    <r>
      <t>R</t>
    </r>
    <r>
      <rPr>
        <b/>
        <sz val="11"/>
        <rFont val="Arial Narrow"/>
        <family val="2"/>
      </rPr>
      <t>43,435</t>
    </r>
  </si>
  <si>
    <r>
      <t>R</t>
    </r>
    <r>
      <rPr>
        <b/>
        <sz val="11"/>
        <rFont val="Arial Narrow"/>
        <family val="2"/>
      </rPr>
      <t>53,806</t>
    </r>
  </si>
  <si>
    <r>
      <t>R</t>
    </r>
    <r>
      <rPr>
        <sz val="11"/>
        <rFont val="Arial Narrow"/>
        <family val="2"/>
      </rPr>
      <t>8.1</t>
    </r>
  </si>
  <si>
    <r>
      <t>R</t>
    </r>
    <r>
      <rPr>
        <sz val="11"/>
        <rFont val="Arial Narrow"/>
        <family val="2"/>
      </rPr>
      <t>12.8</t>
    </r>
  </si>
  <si>
    <r>
      <t>R</t>
    </r>
    <r>
      <rPr>
        <sz val="11"/>
        <rFont val="Arial Narrow"/>
        <family val="2"/>
      </rPr>
      <t>39.4</t>
    </r>
  </si>
  <si>
    <r>
      <t>R</t>
    </r>
    <r>
      <rPr>
        <sz val="11"/>
        <rFont val="Arial Narrow"/>
        <family val="2"/>
      </rPr>
      <t>18.8</t>
    </r>
  </si>
  <si>
    <r>
      <t>R</t>
    </r>
    <r>
      <rPr>
        <sz val="11"/>
        <rFont val="Arial Narrow"/>
        <family val="2"/>
      </rPr>
      <t>20.9</t>
    </r>
  </si>
  <si>
    <r>
      <t>R</t>
    </r>
    <r>
      <rPr>
        <b/>
        <sz val="11"/>
        <rFont val="Arial Narrow"/>
        <family val="2"/>
      </rPr>
      <t>32,921</t>
    </r>
  </si>
  <si>
    <r>
      <t xml:space="preserve">a </t>
    </r>
    <r>
      <rPr>
        <sz val="9"/>
        <rFont val="Arial"/>
        <family val="2"/>
      </rPr>
      <t xml:space="preserve"> Included in row below.</t>
    </r>
  </si>
  <si>
    <r>
      <t xml:space="preserve">b  </t>
    </r>
    <r>
      <rPr>
        <sz val="9"/>
        <rFont val="Arial"/>
        <family val="2"/>
      </rPr>
      <t>The significant increase in miles not reported can be attributed to the fact that many states are electing to report pavement conditions by the more objective International Roughness Indicator (IRI) rather than by the Present Serviceability Rating (PSR), which has traditionally been used to determine pavement conditions for these systems.</t>
    </r>
  </si>
  <si>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</si>
  <si>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</si>
  <si>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</si>
  <si>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</si>
  <si>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</si>
  <si>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</si>
  <si>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</si>
  <si>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</si>
  <si>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</si>
  <si>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</si>
  <si>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</si>
  <si>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r>
      <t xml:space="preserve">NOTES: </t>
    </r>
    <r>
      <rPr>
        <sz val="9"/>
        <rFont val="Arial"/>
        <family val="2"/>
      </rPr>
      <t xml:space="preserve"> Because of the transition to a new indicator for pavement condition beginning with U.S. Department of Transportation, Federal Highway Administration (FHWA) data published in 1993, comparisons between pre-1993 data and 1993 and later data are difficult. Thus, trend comparisons should be made with care. For additional information, the reader is referred to the accuracy profile for this table in the appendix. Total mileage in this table will not match that in table 1-4 because of a change in the method of creating mileage-based tables derived from the Highway Performance Monitoring System, beginning with the 1997 issue of FHWA's </t>
    </r>
    <r>
      <rPr>
        <i/>
        <sz val="9"/>
        <rFont val="Arial"/>
        <family val="2"/>
      </rPr>
      <t xml:space="preserve">Highway Statistics. </t>
    </r>
  </si>
  <si>
    <r>
      <t xml:space="preserve">1993-98, 2000: Ibid., </t>
    </r>
    <r>
      <rPr>
        <i/>
        <sz val="9"/>
        <rFont val="Arial"/>
        <family val="2"/>
      </rPr>
      <t>Highway Statistics</t>
    </r>
    <r>
      <rPr>
        <sz val="9"/>
        <rFont val="Arial"/>
        <family val="2"/>
      </rPr>
      <t xml:space="preserve"> (Washington, DC: Annual issues), table HM-63 for rural major collector, urban minor arterial, and urban collector, and table HM-64 for all other categories.</t>
    </r>
  </si>
  <si>
    <r>
      <t>KEY:</t>
    </r>
    <r>
      <rPr>
        <sz val="9"/>
        <rFont val="Arial"/>
        <family val="2"/>
      </rPr>
      <t xml:space="preserve"> N = data do not exist; R = revised;  U = data are not available; – = value too small to report.</t>
    </r>
  </si>
  <si>
    <t>1999: Ibid., personal communication, June 5, 2002.</t>
  </si>
  <si>
    <t>continued</t>
  </si>
  <si>
    <r>
      <t xml:space="preserve">Table 1-23 </t>
    </r>
    <r>
      <rPr>
        <i/>
        <sz val="10"/>
        <rFont val="Arial"/>
        <family val="2"/>
      </rPr>
      <t>continued</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</si>
</sst>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_w"/>
    <numFmt numFmtId="167" formatCode="0.0"/>
    <numFmt numFmtId="168" formatCode="#,##0.0"/>
  </numFmts>
  <fonts count="24">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sz val="9"/>
      <name val="Arial"/>
      <family val="2"/>
    </font>
    <font>
      <b/>
      <sz val="9"/>
      <name val="Arial"/>
      <family val="2"/>
    </font>
    <font>
      <b/>
      <sz val="9"/>
      <name val="Arial Narrow"/>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b/>
      <vertAlign val="superscript"/>
      <sz val="9"/>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164" fontId="4" fillId="0" borderId="1" applyNumberFormat="0">
      <alignment horizontal="right" vertical="center"/>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81">
    <xf numFmtId="0" fontId="0" fillId="0" borderId="0" xfId="0" applyAlignment="1">
      <alignment/>
    </xf>
    <xf numFmtId="3" fontId="0" fillId="0" borderId="0" xfId="45" applyNumberFormat="1" applyFont="1" applyFill="1" applyBorder="1" applyAlignment="1">
      <alignment horizontal="right"/>
      <protection/>
    </xf>
    <xf numFmtId="0" fontId="0"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3" fontId="1" fillId="0" borderId="0" xfId="45" applyNumberFormat="1" applyFont="1" applyFill="1" applyBorder="1" applyAlignment="1">
      <alignment horizontal="right"/>
      <protection/>
    </xf>
    <xf numFmtId="0" fontId="0" fillId="0" borderId="0" xfId="45" applyFont="1" applyFill="1" applyBorder="1" applyAlignment="1">
      <alignment/>
      <protection/>
    </xf>
    <xf numFmtId="0" fontId="14" fillId="0" borderId="0" xfId="0" applyFont="1" applyFill="1" applyBorder="1" applyAlignment="1">
      <alignment/>
    </xf>
    <xf numFmtId="167" fontId="0" fillId="0" borderId="0" xfId="23" applyNumberFormat="1" applyFont="1" applyFill="1" applyBorder="1" applyAlignment="1">
      <alignment horizontal="center"/>
      <protection/>
    </xf>
    <xf numFmtId="3" fontId="0" fillId="0" borderId="0" xfId="0" applyNumberFormat="1" applyFont="1" applyFill="1" applyBorder="1" applyAlignment="1">
      <alignment horizontal="center"/>
    </xf>
    <xf numFmtId="0" fontId="0" fillId="0" borderId="0" xfId="0" applyFill="1" applyAlignment="1">
      <alignment/>
    </xf>
    <xf numFmtId="0" fontId="17" fillId="0" borderId="4" xfId="45" applyFont="1" applyFill="1" applyBorder="1" applyAlignment="1">
      <alignment horizontal="right"/>
      <protection/>
    </xf>
    <xf numFmtId="0" fontId="18" fillId="0" borderId="0" xfId="45" applyFont="1" applyFill="1" applyBorder="1" applyAlignment="1">
      <alignment/>
      <protection/>
    </xf>
    <xf numFmtId="0" fontId="18" fillId="0" borderId="0" xfId="45" applyFont="1" applyFill="1" applyBorder="1" applyAlignment="1">
      <alignment horizontal="right"/>
      <protection/>
    </xf>
    <xf numFmtId="0" fontId="18" fillId="0" borderId="0" xfId="0" applyFont="1" applyFill="1" applyAlignment="1">
      <alignment/>
    </xf>
    <xf numFmtId="0" fontId="18" fillId="0" borderId="0" xfId="0" applyFont="1" applyFill="1" applyAlignment="1">
      <alignment horizontal="right"/>
    </xf>
    <xf numFmtId="3" fontId="17" fillId="0" borderId="0" xfId="45" applyNumberFormat="1" applyFont="1" applyFill="1" applyBorder="1" applyAlignment="1">
      <alignment horizontal="right"/>
      <protection/>
    </xf>
    <xf numFmtId="0" fontId="17" fillId="0" borderId="0" xfId="0" applyFont="1" applyFill="1" applyAlignment="1">
      <alignment/>
    </xf>
    <xf numFmtId="0" fontId="17" fillId="0" borderId="0" xfId="0" applyFont="1" applyFill="1" applyAlignment="1">
      <alignment horizontal="right"/>
    </xf>
    <xf numFmtId="3" fontId="18" fillId="0" borderId="0" xfId="45" applyNumberFormat="1" applyFont="1" applyFill="1" applyBorder="1" applyAlignment="1">
      <alignment horizontal="right"/>
      <protection/>
    </xf>
    <xf numFmtId="3" fontId="18" fillId="0" borderId="0" xfId="0" applyNumberFormat="1" applyFont="1" applyFill="1" applyAlignment="1">
      <alignment/>
    </xf>
    <xf numFmtId="0" fontId="17" fillId="0" borderId="0" xfId="45" applyFont="1" applyFill="1" applyBorder="1" applyAlignment="1">
      <alignment/>
      <protection/>
    </xf>
    <xf numFmtId="0" fontId="17" fillId="0" borderId="0" xfId="45" applyFont="1" applyFill="1" applyBorder="1" applyAlignment="1">
      <alignment horizontal="right"/>
      <protection/>
    </xf>
    <xf numFmtId="167" fontId="17" fillId="0" borderId="0" xfId="45" applyNumberFormat="1" applyFont="1" applyFill="1" applyBorder="1" applyAlignment="1">
      <alignment horizontal="right"/>
      <protection/>
    </xf>
    <xf numFmtId="0" fontId="19" fillId="0" borderId="0" xfId="45" applyFont="1" applyFill="1" applyBorder="1" applyAlignment="1">
      <alignment horizontal="right"/>
      <protection/>
    </xf>
    <xf numFmtId="3" fontId="17" fillId="0" borderId="0" xfId="45" applyNumberFormat="1" applyFont="1" applyFill="1" applyBorder="1" applyAlignment="1">
      <alignment/>
      <protection/>
    </xf>
    <xf numFmtId="49" fontId="17" fillId="0" borderId="0" xfId="45" applyNumberFormat="1" applyFont="1" applyFill="1" applyBorder="1" applyAlignment="1">
      <alignment horizontal="right"/>
      <protection/>
    </xf>
    <xf numFmtId="3" fontId="18" fillId="0" borderId="0" xfId="45" applyNumberFormat="1" applyFont="1" applyFill="1" applyBorder="1" applyAlignment="1">
      <alignment/>
      <protection/>
    </xf>
    <xf numFmtId="167" fontId="17" fillId="0" borderId="0" xfId="45" applyNumberFormat="1" applyFont="1" applyFill="1" applyBorder="1" applyAlignment="1">
      <alignment/>
      <protection/>
    </xf>
    <xf numFmtId="168" fontId="17" fillId="0" borderId="0" xfId="45" applyNumberFormat="1" applyFont="1" applyFill="1" applyBorder="1" applyAlignment="1">
      <alignment horizontal="right"/>
      <protection/>
    </xf>
    <xf numFmtId="0" fontId="18" fillId="0" borderId="5" xfId="45" applyFont="1" applyFill="1" applyBorder="1" applyAlignment="1">
      <alignment/>
      <protection/>
    </xf>
    <xf numFmtId="3" fontId="18" fillId="0" borderId="5" xfId="45" applyNumberFormat="1" applyFont="1" applyFill="1" applyBorder="1" applyAlignment="1">
      <alignment horizontal="right"/>
      <protection/>
    </xf>
    <xf numFmtId="49" fontId="18" fillId="0" borderId="4" xfId="45" applyNumberFormat="1" applyFont="1" applyFill="1" applyBorder="1" applyAlignment="1">
      <alignment horizontal="right"/>
      <protection/>
    </xf>
    <xf numFmtId="49" fontId="18" fillId="0" borderId="6" xfId="45" applyNumberFormat="1" applyFont="1" applyFill="1" applyBorder="1" applyAlignment="1">
      <alignment horizontal="right"/>
      <protection/>
    </xf>
    <xf numFmtId="49" fontId="18" fillId="0" borderId="6" xfId="0" applyNumberFormat="1" applyFont="1" applyFill="1" applyBorder="1" applyAlignment="1">
      <alignment horizontal="right"/>
    </xf>
    <xf numFmtId="3" fontId="18" fillId="0" borderId="0" xfId="0" applyNumberFormat="1" applyFont="1" applyFill="1" applyAlignment="1">
      <alignment horizontal="right"/>
    </xf>
    <xf numFmtId="167" fontId="17" fillId="0" borderId="0" xfId="0" applyNumberFormat="1" applyFont="1" applyFill="1" applyAlignment="1">
      <alignment horizontal="right"/>
    </xf>
    <xf numFmtId="1" fontId="18" fillId="0" borderId="0" xfId="0" applyNumberFormat="1" applyFont="1" applyFill="1" applyAlignment="1">
      <alignment horizontal="right"/>
    </xf>
    <xf numFmtId="3" fontId="18" fillId="0" borderId="5" xfId="0" applyNumberFormat="1" applyFont="1" applyFill="1" applyBorder="1" applyAlignment="1">
      <alignment horizontal="right"/>
    </xf>
    <xf numFmtId="0" fontId="18" fillId="0" borderId="5" xfId="0" applyFont="1" applyFill="1" applyBorder="1" applyAlignment="1">
      <alignment horizontal="right"/>
    </xf>
    <xf numFmtId="0" fontId="17" fillId="0" borderId="0" xfId="0" applyFont="1" applyFill="1" applyBorder="1" applyAlignment="1">
      <alignment/>
    </xf>
    <xf numFmtId="0" fontId="17" fillId="0" borderId="0" xfId="0" applyFont="1" applyFill="1" applyBorder="1" applyAlignment="1">
      <alignment horizontal="right"/>
    </xf>
    <xf numFmtId="167" fontId="18" fillId="0" borderId="0" xfId="45" applyNumberFormat="1" applyFont="1" applyFill="1" applyBorder="1" applyAlignment="1">
      <alignment/>
      <protection/>
    </xf>
    <xf numFmtId="0" fontId="18" fillId="0" borderId="0" xfId="0" applyFont="1" applyFill="1" applyBorder="1" applyAlignment="1">
      <alignment horizontal="right"/>
    </xf>
    <xf numFmtId="3" fontId="21" fillId="0" borderId="0" xfId="45" applyNumberFormat="1" applyFont="1" applyFill="1" applyBorder="1" applyAlignment="1">
      <alignment horizontal="right"/>
      <protection/>
    </xf>
    <xf numFmtId="3" fontId="16" fillId="0" borderId="0" xfId="45" applyNumberFormat="1" applyFont="1" applyFill="1" applyBorder="1" applyAlignment="1">
      <alignment horizontal="right"/>
      <protection/>
    </xf>
    <xf numFmtId="0" fontId="14" fillId="0" borderId="0" xfId="24" applyFont="1" applyFill="1" applyBorder="1" applyAlignment="1">
      <alignment horizontal="left"/>
      <protection/>
    </xf>
    <xf numFmtId="0" fontId="14" fillId="0" borderId="0" xfId="0" applyFont="1" applyFill="1" applyAlignment="1">
      <alignment horizontal="left"/>
    </xf>
    <xf numFmtId="3" fontId="14" fillId="0" borderId="0" xfId="23" applyNumberFormat="1" applyFont="1" applyFill="1" applyBorder="1" applyAlignment="1">
      <alignment horizontal="left"/>
      <protection/>
    </xf>
    <xf numFmtId="3" fontId="14" fillId="0" borderId="0" xfId="0" applyNumberFormat="1" applyFont="1" applyFill="1" applyBorder="1" applyAlignment="1">
      <alignment horizontal="left"/>
    </xf>
    <xf numFmtId="167" fontId="14" fillId="0" borderId="0" xfId="23" applyNumberFormat="1" applyFont="1" applyFill="1" applyBorder="1" applyAlignment="1">
      <alignment horizontal="center"/>
      <protection/>
    </xf>
    <xf numFmtId="0" fontId="23" fillId="0" borderId="0" xfId="24" applyFont="1" applyFill="1" applyBorder="1" applyAlignment="1">
      <alignment horizontal="left"/>
      <protection/>
    </xf>
    <xf numFmtId="3" fontId="22" fillId="0" borderId="0" xfId="23" applyNumberFormat="1" applyFont="1" applyFill="1" applyBorder="1" applyAlignment="1">
      <alignment horizontal="left"/>
      <protection/>
    </xf>
    <xf numFmtId="49" fontId="14" fillId="0" borderId="0" xfId="0" applyNumberFormat="1" applyFont="1" applyFill="1" applyAlignment="1">
      <alignment horizontal="left"/>
    </xf>
    <xf numFmtId="0" fontId="14" fillId="0" borderId="0" xfId="0" applyFont="1" applyFill="1" applyAlignment="1">
      <alignment/>
    </xf>
    <xf numFmtId="167" fontId="19" fillId="0" borderId="0" xfId="45" applyNumberFormat="1" applyFont="1" applyFill="1" applyBorder="1" applyAlignment="1">
      <alignment horizontal="right" vertical="top"/>
      <protection/>
    </xf>
    <xf numFmtId="3" fontId="20" fillId="0" borderId="0" xfId="45" applyNumberFormat="1" applyFont="1" applyFill="1" applyBorder="1" applyAlignment="1">
      <alignment horizontal="right" vertical="top"/>
      <protection/>
    </xf>
    <xf numFmtId="3" fontId="20" fillId="0" borderId="0" xfId="0" applyNumberFormat="1" applyFont="1" applyFill="1" applyAlignment="1">
      <alignment horizontal="right" vertical="top"/>
    </xf>
    <xf numFmtId="168" fontId="19" fillId="0" borderId="0" xfId="45" applyNumberFormat="1" applyFont="1" applyFill="1" applyBorder="1" applyAlignment="1">
      <alignment horizontal="right" vertical="top"/>
      <protection/>
    </xf>
    <xf numFmtId="3" fontId="20" fillId="0" borderId="5" xfId="0" applyNumberFormat="1" applyFont="1" applyFill="1" applyBorder="1" applyAlignment="1">
      <alignment horizontal="right" vertical="top"/>
    </xf>
    <xf numFmtId="3" fontId="20" fillId="0" borderId="5" xfId="45" applyNumberFormat="1" applyFont="1" applyFill="1" applyBorder="1" applyAlignment="1">
      <alignment horizontal="right" vertical="top"/>
      <protection/>
    </xf>
    <xf numFmtId="49" fontId="18" fillId="0" borderId="0" xfId="45" applyNumberFormat="1" applyFont="1" applyFill="1" applyBorder="1" applyAlignment="1">
      <alignment horizontal="right"/>
      <protection/>
    </xf>
    <xf numFmtId="49" fontId="18" fillId="0" borderId="0" xfId="0" applyNumberFormat="1" applyFont="1" applyFill="1" applyAlignment="1">
      <alignment horizontal="right"/>
    </xf>
    <xf numFmtId="3" fontId="0" fillId="0" borderId="5" xfId="45" applyNumberFormat="1" applyFont="1" applyFill="1" applyBorder="1" applyAlignment="1">
      <alignment horizontal="right"/>
      <protection/>
    </xf>
    <xf numFmtId="0" fontId="0" fillId="0" borderId="5" xfId="0" applyFont="1" applyFill="1" applyBorder="1" applyAlignment="1">
      <alignment/>
    </xf>
    <xf numFmtId="0" fontId="14" fillId="0" borderId="5" xfId="0" applyFont="1" applyFill="1" applyBorder="1" applyAlignment="1">
      <alignment/>
    </xf>
    <xf numFmtId="0" fontId="0" fillId="0" borderId="5" xfId="0" applyFont="1" applyFill="1" applyBorder="1" applyAlignment="1">
      <alignment horizontal="right"/>
    </xf>
    <xf numFmtId="0" fontId="2" fillId="0" borderId="0" xfId="0" applyFont="1" applyFill="1" applyAlignment="1">
      <alignment horizontal="right"/>
    </xf>
    <xf numFmtId="0" fontId="13" fillId="0" borderId="5" xfId="45" applyFont="1" applyFill="1" applyBorder="1" applyAlignment="1">
      <alignment/>
      <protection/>
    </xf>
    <xf numFmtId="3" fontId="22" fillId="0" borderId="0" xfId="23" applyNumberFormat="1" applyFont="1" applyFill="1" applyBorder="1" applyAlignment="1">
      <alignment horizontal="left" wrapText="1"/>
      <protection/>
    </xf>
    <xf numFmtId="0" fontId="14" fillId="0" borderId="0" xfId="24" applyFont="1" applyFill="1" applyBorder="1" applyAlignment="1">
      <alignment horizontal="left" wrapText="1"/>
      <protection/>
    </xf>
    <xf numFmtId="0" fontId="0" fillId="0" borderId="0" xfId="0" applyAlignment="1">
      <alignment horizontal="left" wrapText="1"/>
    </xf>
    <xf numFmtId="0" fontId="13" fillId="0" borderId="5" xfId="44" applyFont="1" applyFill="1" applyBorder="1" applyAlignment="1">
      <alignment horizontal="left"/>
      <protection/>
    </xf>
    <xf numFmtId="0" fontId="0" fillId="0" borderId="5" xfId="0" applyBorder="1" applyAlignment="1">
      <alignment/>
    </xf>
    <xf numFmtId="0" fontId="22" fillId="0" borderId="0" xfId="23" applyNumberFormat="1" applyFont="1" applyFill="1" applyBorder="1" applyAlignment="1">
      <alignment horizontal="left" wrapText="1"/>
      <protection/>
    </xf>
    <xf numFmtId="0" fontId="15" fillId="0" borderId="7" xfId="24" applyFont="1" applyFill="1" applyBorder="1" applyAlignment="1">
      <alignment horizontal="left" wrapText="1"/>
      <protection/>
    </xf>
    <xf numFmtId="0" fontId="0" fillId="0" borderId="7" xfId="0" applyBorder="1" applyAlignment="1">
      <alignment horizontal="left" wrapText="1"/>
    </xf>
    <xf numFmtId="0" fontId="16" fillId="0" borderId="0" xfId="45" applyFont="1" applyFill="1" applyBorder="1" applyAlignment="1">
      <alignment horizontal="left" wrapText="1"/>
      <protection/>
    </xf>
    <xf numFmtId="0" fontId="14" fillId="0" borderId="0" xfId="0" applyNumberFormat="1" applyFont="1" applyFill="1" applyAlignment="1">
      <alignment horizontal="left" wrapText="1"/>
    </xf>
    <xf numFmtId="0" fontId="15" fillId="0" borderId="0" xfId="0" applyNumberFormat="1" applyFont="1" applyFill="1" applyAlignment="1">
      <alignment horizontal="left" wrapText="1"/>
    </xf>
    <xf numFmtId="0" fontId="15" fillId="0" borderId="0" xfId="24" applyNumberFormat="1" applyFont="1" applyFill="1" applyBorder="1" applyAlignment="1">
      <alignment horizontal="left" wrapText="1"/>
      <protection/>
    </xf>
  </cellXfs>
  <cellStyles count="35">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2_1" xfId="23"/>
    <cellStyle name="Hed Side" xfId="24"/>
    <cellStyle name="Hed Side bold" xfId="25"/>
    <cellStyle name="Hed Side Indent" xfId="26"/>
    <cellStyle name="Hed Side Regular" xfId="27"/>
    <cellStyle name="Hed Side_1-1A-Regular" xfId="28"/>
    <cellStyle name="Hed Top" xfId="29"/>
    <cellStyle name="Percent" xfId="30"/>
    <cellStyle name="Source Hed" xfId="31"/>
    <cellStyle name="Source Superscript" xfId="32"/>
    <cellStyle name="Source Text" xfId="33"/>
    <cellStyle name="State"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Wrap" xfId="46"/>
    <cellStyle name="Wrap Bold" xfId="47"/>
    <cellStyle name="Wrap Title"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115"/>
  <sheetViews>
    <sheetView tabSelected="1" workbookViewId="0" topLeftCell="A1">
      <selection activeCell="L44" sqref="L44"/>
    </sheetView>
  </sheetViews>
  <sheetFormatPr defaultColWidth="9.140625" defaultRowHeight="12.75"/>
  <cols>
    <col min="1" max="1" width="21.57421875" style="2" customWidth="1"/>
    <col min="2" max="2" width="8.140625" style="2" customWidth="1"/>
    <col min="3" max="6" width="9.8515625" style="2" bestFit="1" customWidth="1"/>
    <col min="7" max="7" width="9.421875" style="2" bestFit="1" customWidth="1"/>
    <col min="8" max="8" width="9.8515625" style="2" bestFit="1" customWidth="1"/>
    <col min="9" max="10" width="10.00390625" style="2" customWidth="1"/>
    <col min="11" max="12" width="9.8515625" style="2" bestFit="1" customWidth="1"/>
    <col min="13" max="16384" width="9.140625" style="2" customWidth="1"/>
  </cols>
  <sheetData>
    <row r="1" spans="1:12" ht="16.5" thickBot="1">
      <c r="A1" s="72" t="s">
        <v>24</v>
      </c>
      <c r="B1" s="73"/>
      <c r="C1" s="73"/>
      <c r="D1" s="73"/>
      <c r="E1" s="73"/>
      <c r="F1" s="73"/>
      <c r="G1" s="73"/>
      <c r="H1" s="73"/>
      <c r="I1" s="73"/>
      <c r="J1" s="73"/>
      <c r="K1" s="73"/>
      <c r="L1" s="73"/>
    </row>
    <row r="2" spans="1:12" s="3" customFormat="1" ht="16.5">
      <c r="A2" s="11"/>
      <c r="B2" s="32" t="s">
        <v>36</v>
      </c>
      <c r="C2" s="32" t="s">
        <v>37</v>
      </c>
      <c r="D2" s="32" t="s">
        <v>38</v>
      </c>
      <c r="E2" s="32" t="s">
        <v>39</v>
      </c>
      <c r="F2" s="32" t="s">
        <v>40</v>
      </c>
      <c r="G2" s="32" t="s">
        <v>41</v>
      </c>
      <c r="H2" s="33" t="s">
        <v>42</v>
      </c>
      <c r="I2" s="33" t="s">
        <v>43</v>
      </c>
      <c r="J2" s="34" t="s">
        <v>44</v>
      </c>
      <c r="K2" s="34" t="s">
        <v>45</v>
      </c>
      <c r="L2" s="34" t="s">
        <v>46</v>
      </c>
    </row>
    <row r="3" spans="1:12" s="4" customFormat="1" ht="16.5">
      <c r="A3" s="12" t="s">
        <v>1</v>
      </c>
      <c r="B3" s="61"/>
      <c r="C3" s="61"/>
      <c r="D3" s="61"/>
      <c r="E3" s="61"/>
      <c r="F3" s="61"/>
      <c r="G3" s="61"/>
      <c r="H3" s="61"/>
      <c r="I3" s="61"/>
      <c r="J3" s="62"/>
      <c r="K3" s="62"/>
      <c r="L3" s="62"/>
    </row>
    <row r="4" spans="1:12" s="4" customFormat="1" ht="6" customHeight="1">
      <c r="A4" s="12"/>
      <c r="B4" s="13"/>
      <c r="C4" s="13"/>
      <c r="D4" s="13"/>
      <c r="E4" s="13"/>
      <c r="F4" s="13"/>
      <c r="G4" s="13"/>
      <c r="H4" s="13"/>
      <c r="I4" s="13"/>
      <c r="J4" s="14"/>
      <c r="K4" s="14"/>
      <c r="L4" s="15"/>
    </row>
    <row r="5" spans="1:12" s="3" customFormat="1" ht="16.5">
      <c r="A5" s="12" t="s">
        <v>15</v>
      </c>
      <c r="B5" s="16"/>
      <c r="C5" s="16"/>
      <c r="D5" s="16"/>
      <c r="E5" s="16"/>
      <c r="F5" s="16"/>
      <c r="G5" s="16"/>
      <c r="H5" s="16"/>
      <c r="I5" s="16"/>
      <c r="J5" s="17"/>
      <c r="K5" s="17"/>
      <c r="L5" s="18"/>
    </row>
    <row r="6" spans="1:12" s="4" customFormat="1" ht="16.5">
      <c r="A6" s="12" t="s">
        <v>2</v>
      </c>
      <c r="B6" s="19">
        <v>33547</v>
      </c>
      <c r="C6" s="19">
        <v>33677</v>
      </c>
      <c r="D6" s="19">
        <v>33027</v>
      </c>
      <c r="E6" s="19">
        <v>29089</v>
      </c>
      <c r="F6" s="19">
        <v>31502</v>
      </c>
      <c r="G6" s="19">
        <v>31254</v>
      </c>
      <c r="H6" s="19">
        <v>31312</v>
      </c>
      <c r="I6" s="19">
        <v>31431</v>
      </c>
      <c r="J6" s="20">
        <v>30498</v>
      </c>
      <c r="K6" s="20">
        <v>32820</v>
      </c>
      <c r="L6" s="35">
        <v>32888</v>
      </c>
    </row>
    <row r="7" spans="1:12" s="3" customFormat="1" ht="16.5">
      <c r="A7" s="21" t="s">
        <v>3</v>
      </c>
      <c r="B7" s="22">
        <v>8.7</v>
      </c>
      <c r="C7" s="23">
        <v>7.6</v>
      </c>
      <c r="D7" s="23">
        <v>5.247221969903412</v>
      </c>
      <c r="E7" s="23">
        <v>7</v>
      </c>
      <c r="F7" s="23">
        <v>6.5</v>
      </c>
      <c r="G7" s="23">
        <v>6.3</v>
      </c>
      <c r="H7" s="23">
        <f>(188+235+784)/$H$6*100</f>
        <v>3.854752171691364</v>
      </c>
      <c r="I7" s="23">
        <f>(716+222+205)/I6*100</f>
        <v>3.636537176672712</v>
      </c>
      <c r="J7" s="23">
        <f>(718+304+216)/J6*100</f>
        <v>4.059282575906617</v>
      </c>
      <c r="K7" s="23">
        <v>2.4</v>
      </c>
      <c r="L7" s="36">
        <v>2.1</v>
      </c>
    </row>
    <row r="8" spans="1:12" s="3" customFormat="1" ht="18">
      <c r="A8" s="21" t="s">
        <v>4</v>
      </c>
      <c r="B8" s="24" t="s">
        <v>5</v>
      </c>
      <c r="C8" s="24" t="s">
        <v>5</v>
      </c>
      <c r="D8" s="23">
        <v>14.1</v>
      </c>
      <c r="E8" s="23">
        <v>27.7</v>
      </c>
      <c r="F8" s="23">
        <v>26.5</v>
      </c>
      <c r="G8" s="23">
        <v>20.7</v>
      </c>
      <c r="H8" s="23">
        <f>(1881+4106)/$H$6*100</f>
        <v>19.12046499744507</v>
      </c>
      <c r="I8" s="23">
        <f>(4095+1894)/I6*100</f>
        <v>19.054436702618435</v>
      </c>
      <c r="J8" s="23">
        <f>(3246+1801)/J6*100</f>
        <v>16.548626139418978</v>
      </c>
      <c r="K8" s="23">
        <v>14</v>
      </c>
      <c r="L8" s="36">
        <v>12.2</v>
      </c>
    </row>
    <row r="9" spans="1:12" s="3" customFormat="1" ht="16.5">
      <c r="A9" s="21" t="s">
        <v>6</v>
      </c>
      <c r="B9" s="22">
        <v>31.9</v>
      </c>
      <c r="C9" s="23">
        <v>31.7</v>
      </c>
      <c r="D9" s="23">
        <v>17.4</v>
      </c>
      <c r="E9" s="23">
        <v>20.9</v>
      </c>
      <c r="F9" s="23">
        <v>23.9</v>
      </c>
      <c r="G9" s="23">
        <v>22.3</v>
      </c>
      <c r="H9" s="23">
        <f>(6785)/$H$6*100</f>
        <v>21.669008686765455</v>
      </c>
      <c r="I9" s="23">
        <f>6505/I6*100</f>
        <v>20.69612802647068</v>
      </c>
      <c r="J9" s="23">
        <f>5420/J6*100</f>
        <v>17.771657157846416</v>
      </c>
      <c r="K9" s="23">
        <v>18.1</v>
      </c>
      <c r="L9" s="36">
        <v>16.9</v>
      </c>
    </row>
    <row r="10" spans="1:12" s="3" customFormat="1" ht="18">
      <c r="A10" s="21" t="s">
        <v>7</v>
      </c>
      <c r="B10" s="24" t="s">
        <v>5</v>
      </c>
      <c r="C10" s="24" t="s">
        <v>5</v>
      </c>
      <c r="D10" s="23">
        <v>27.6</v>
      </c>
      <c r="E10" s="23">
        <v>36.1</v>
      </c>
      <c r="F10" s="23">
        <v>33.2</v>
      </c>
      <c r="G10" s="23">
        <v>36.9</v>
      </c>
      <c r="H10" s="23">
        <f>(12141)/$H$6*100</f>
        <v>38.7742718446602</v>
      </c>
      <c r="I10" s="23">
        <f>12875/I6*100</f>
        <v>40.962743787980024</v>
      </c>
      <c r="J10" s="23">
        <f>12992/J6*100</f>
        <v>42.59951472227687</v>
      </c>
      <c r="K10" s="23">
        <v>44</v>
      </c>
      <c r="L10" s="36">
        <v>44.8</v>
      </c>
    </row>
    <row r="11" spans="1:12" s="3" customFormat="1" ht="16.5">
      <c r="A11" s="21" t="s">
        <v>8</v>
      </c>
      <c r="B11" s="22">
        <v>59.5</v>
      </c>
      <c r="C11" s="23">
        <v>60.7</v>
      </c>
      <c r="D11" s="23">
        <v>35.6</v>
      </c>
      <c r="E11" s="23">
        <v>8.3</v>
      </c>
      <c r="F11" s="23">
        <v>9.9</v>
      </c>
      <c r="G11" s="23">
        <v>13.9</v>
      </c>
      <c r="H11" s="23">
        <f>(5192)/$H$6*100</f>
        <v>16.581502299437915</v>
      </c>
      <c r="I11" s="23">
        <f>4919/I6*100</f>
        <v>15.650154306258152</v>
      </c>
      <c r="J11" s="23">
        <f>5801/J6*100</f>
        <v>19.02091940455112</v>
      </c>
      <c r="K11" s="23">
        <v>21.5</v>
      </c>
      <c r="L11" s="36">
        <v>23.9</v>
      </c>
    </row>
    <row r="12" spans="1:12" s="3" customFormat="1" ht="16.5">
      <c r="A12" s="21" t="s">
        <v>9</v>
      </c>
      <c r="B12" s="22" t="s">
        <v>10</v>
      </c>
      <c r="C12" s="16" t="s">
        <v>10</v>
      </c>
      <c r="D12" s="16" t="s">
        <v>10</v>
      </c>
      <c r="E12" s="16" t="s">
        <v>10</v>
      </c>
      <c r="F12" s="16" t="s">
        <v>10</v>
      </c>
      <c r="G12" s="16" t="s">
        <v>10</v>
      </c>
      <c r="H12" s="16" t="s">
        <v>10</v>
      </c>
      <c r="I12" s="16" t="s">
        <v>10</v>
      </c>
      <c r="J12" s="16" t="s">
        <v>10</v>
      </c>
      <c r="K12" s="16" t="s">
        <v>10</v>
      </c>
      <c r="L12" s="36" t="s">
        <v>10</v>
      </c>
    </row>
    <row r="13" spans="1:12" s="4" customFormat="1" ht="16.5">
      <c r="A13" s="12" t="s">
        <v>11</v>
      </c>
      <c r="B13" s="13" t="s">
        <v>10</v>
      </c>
      <c r="C13" s="19" t="s">
        <v>10</v>
      </c>
      <c r="D13" s="19" t="s">
        <v>10</v>
      </c>
      <c r="E13" s="19">
        <v>3563</v>
      </c>
      <c r="F13" s="19">
        <v>955</v>
      </c>
      <c r="G13" s="19">
        <v>1326</v>
      </c>
      <c r="H13" s="19">
        <v>1508</v>
      </c>
      <c r="I13" s="19">
        <v>1382</v>
      </c>
      <c r="J13" s="20">
        <v>2313</v>
      </c>
      <c r="K13" s="20">
        <v>153</v>
      </c>
      <c r="L13" s="37">
        <v>162</v>
      </c>
    </row>
    <row r="14" spans="1:12" s="4" customFormat="1" ht="6" customHeight="1">
      <c r="A14" s="12"/>
      <c r="B14" s="13"/>
      <c r="C14" s="19"/>
      <c r="D14" s="19"/>
      <c r="E14" s="19"/>
      <c r="F14" s="19"/>
      <c r="G14" s="19"/>
      <c r="H14" s="19"/>
      <c r="I14" s="19"/>
      <c r="J14" s="14"/>
      <c r="K14" s="14"/>
      <c r="L14" s="15"/>
    </row>
    <row r="15" spans="1:12" s="3" customFormat="1" ht="16.5">
      <c r="A15" s="12" t="s">
        <v>16</v>
      </c>
      <c r="B15" s="13"/>
      <c r="C15" s="16"/>
      <c r="D15" s="16"/>
      <c r="E15" s="16"/>
      <c r="F15" s="16"/>
      <c r="G15" s="16"/>
      <c r="H15" s="16"/>
      <c r="I15" s="16"/>
      <c r="J15" s="17"/>
      <c r="K15" s="17"/>
      <c r="L15" s="18"/>
    </row>
    <row r="16" spans="1:12" s="4" customFormat="1" ht="16.5">
      <c r="A16" s="12" t="s">
        <v>2</v>
      </c>
      <c r="B16" s="19">
        <v>83802</v>
      </c>
      <c r="C16" s="19">
        <v>85729</v>
      </c>
      <c r="D16" s="19">
        <v>94798</v>
      </c>
      <c r="E16" s="19">
        <v>78296</v>
      </c>
      <c r="F16" s="19">
        <v>89506</v>
      </c>
      <c r="G16" s="19">
        <v>89265</v>
      </c>
      <c r="H16" s="19">
        <v>92103</v>
      </c>
      <c r="I16" s="19">
        <v>92170</v>
      </c>
      <c r="J16" s="20">
        <v>93333</v>
      </c>
      <c r="K16" s="20">
        <v>97247</v>
      </c>
      <c r="L16" s="35">
        <v>97284</v>
      </c>
    </row>
    <row r="17" spans="1:12" s="3" customFormat="1" ht="16.5">
      <c r="A17" s="21" t="s">
        <v>3</v>
      </c>
      <c r="B17" s="22">
        <v>3.4</v>
      </c>
      <c r="C17" s="23">
        <v>3.6</v>
      </c>
      <c r="D17" s="23">
        <v>3.268001434629422</v>
      </c>
      <c r="E17" s="23">
        <v>2.9</v>
      </c>
      <c r="F17" s="23">
        <v>2.4</v>
      </c>
      <c r="G17" s="23">
        <v>4.4</v>
      </c>
      <c r="H17" s="23">
        <f>1324/$H$16*100</f>
        <v>1.4375210362311759</v>
      </c>
      <c r="I17" s="23">
        <f>1475/I16*100</f>
        <v>1.6003037864815015</v>
      </c>
      <c r="J17" s="23">
        <f>1324/J16*100</f>
        <v>1.4185764949160533</v>
      </c>
      <c r="K17" s="23">
        <f>828/K16*100</f>
        <v>0.8514401472538999</v>
      </c>
      <c r="L17" s="18">
        <v>0.8</v>
      </c>
    </row>
    <row r="18" spans="1:12" s="3" customFormat="1" ht="18">
      <c r="A18" s="21" t="s">
        <v>4</v>
      </c>
      <c r="B18" s="24" t="s">
        <v>5</v>
      </c>
      <c r="C18" s="24" t="s">
        <v>5</v>
      </c>
      <c r="D18" s="23">
        <v>5.9</v>
      </c>
      <c r="E18" s="23">
        <v>9.2</v>
      </c>
      <c r="F18" s="23">
        <v>8.2</v>
      </c>
      <c r="G18" s="23">
        <v>7.6</v>
      </c>
      <c r="H18" s="23">
        <f>(3602+1762)/$H$16*100</f>
        <v>5.82391453047132</v>
      </c>
      <c r="I18" s="23">
        <f>(3010+1472)/I16*100</f>
        <v>4.862753607464468</v>
      </c>
      <c r="J18" s="23">
        <f>(2855+1473)/J16*100</f>
        <v>4.637159418426495</v>
      </c>
      <c r="K18" s="23">
        <f>(2539+1027)/K16*100</f>
        <v>3.6669511655886557</v>
      </c>
      <c r="L18" s="18">
        <v>3.2</v>
      </c>
    </row>
    <row r="19" spans="1:12" s="3" customFormat="1" ht="16.5">
      <c r="A19" s="21" t="s">
        <v>6</v>
      </c>
      <c r="B19" s="22">
        <v>42.6</v>
      </c>
      <c r="C19" s="23">
        <v>44.5</v>
      </c>
      <c r="D19" s="23">
        <v>34.6</v>
      </c>
      <c r="E19" s="23">
        <v>54.8</v>
      </c>
      <c r="F19" s="23">
        <v>57.4</v>
      </c>
      <c r="G19" s="23">
        <v>51.0916932728393</v>
      </c>
      <c r="H19" s="23">
        <f>(8623+15751+20809)/$H$16*100</f>
        <v>49.05703397283476</v>
      </c>
      <c r="I19" s="23">
        <f>(22152+14380+7446)/I16*100</f>
        <v>47.71400672670067</v>
      </c>
      <c r="J19" s="23">
        <f>(20911+12860+6683)/J16*100</f>
        <v>43.34372622759367</v>
      </c>
      <c r="K19" s="23">
        <f>(22464+11810+6078)/K16*100</f>
        <v>41.49433915699199</v>
      </c>
      <c r="L19" s="18">
        <v>38.7</v>
      </c>
    </row>
    <row r="20" spans="1:12" s="3" customFormat="1" ht="18">
      <c r="A20" s="21" t="s">
        <v>7</v>
      </c>
      <c r="B20" s="24" t="s">
        <v>5</v>
      </c>
      <c r="C20" s="24" t="s">
        <v>5</v>
      </c>
      <c r="D20" s="23">
        <v>28.46368066836853</v>
      </c>
      <c r="E20" s="23">
        <v>26.7</v>
      </c>
      <c r="F20" s="23">
        <v>26.6</v>
      </c>
      <c r="G20" s="23">
        <v>27.876547358987285</v>
      </c>
      <c r="H20" s="23">
        <f>31652/$H$16*100</f>
        <v>34.36587299002204</v>
      </c>
      <c r="I20" s="55" t="s">
        <v>25</v>
      </c>
      <c r="J20" s="23">
        <f>35717/J16*100</f>
        <v>38.26835095839628</v>
      </c>
      <c r="K20" s="23">
        <v>40.5</v>
      </c>
      <c r="L20" s="18">
        <v>42.9</v>
      </c>
    </row>
    <row r="21" spans="1:12" s="3" customFormat="1" ht="16.5">
      <c r="A21" s="21" t="s">
        <v>8</v>
      </c>
      <c r="B21" s="23">
        <v>53.8</v>
      </c>
      <c r="C21" s="23">
        <v>51.9</v>
      </c>
      <c r="D21" s="23">
        <v>27.6</v>
      </c>
      <c r="E21" s="23">
        <v>6.4</v>
      </c>
      <c r="F21" s="23">
        <v>5.4</v>
      </c>
      <c r="G21" s="23">
        <v>9.033775835993952</v>
      </c>
      <c r="H21" s="23">
        <f>8580/$H$16*100</f>
        <v>9.315657470440703</v>
      </c>
      <c r="I21" s="23">
        <f>7906/I16*100</f>
        <v>8.577628295540848</v>
      </c>
      <c r="J21" s="23">
        <f>11510/J16*100</f>
        <v>12.332186900667502</v>
      </c>
      <c r="K21" s="23">
        <f>13125/K16*100</f>
        <v>13.496560305202218</v>
      </c>
      <c r="L21" s="18">
        <v>14.4</v>
      </c>
    </row>
    <row r="22" spans="1:12" s="3" customFormat="1" ht="16.5">
      <c r="A22" s="21" t="s">
        <v>9</v>
      </c>
      <c r="B22" s="22" t="s">
        <v>10</v>
      </c>
      <c r="C22" s="16" t="s">
        <v>10</v>
      </c>
      <c r="D22" s="16" t="s">
        <v>10</v>
      </c>
      <c r="E22" s="16" t="s">
        <v>10</v>
      </c>
      <c r="F22" s="16" t="s">
        <v>10</v>
      </c>
      <c r="G22" s="16" t="s">
        <v>10</v>
      </c>
      <c r="H22" s="16" t="s">
        <v>10</v>
      </c>
      <c r="I22" s="16" t="s">
        <v>10</v>
      </c>
      <c r="J22" s="16" t="s">
        <v>10</v>
      </c>
      <c r="K22" s="16" t="s">
        <v>10</v>
      </c>
      <c r="L22" s="18" t="s">
        <v>10</v>
      </c>
    </row>
    <row r="23" spans="1:12" s="4" customFormat="1" ht="16.5">
      <c r="A23" s="12" t="s">
        <v>11</v>
      </c>
      <c r="B23" s="13" t="s">
        <v>10</v>
      </c>
      <c r="C23" s="19" t="s">
        <v>10</v>
      </c>
      <c r="D23" s="19" t="s">
        <v>10</v>
      </c>
      <c r="E23" s="19">
        <v>17905</v>
      </c>
      <c r="F23" s="19">
        <v>7489</v>
      </c>
      <c r="G23" s="19">
        <v>8683</v>
      </c>
      <c r="H23" s="19">
        <v>6028</v>
      </c>
      <c r="I23" s="19">
        <v>6083</v>
      </c>
      <c r="J23" s="20">
        <v>5524</v>
      </c>
      <c r="K23" s="20">
        <v>1587</v>
      </c>
      <c r="L23" s="35">
        <v>1625</v>
      </c>
    </row>
    <row r="24" spans="1:12" s="4" customFormat="1" ht="6" customHeight="1">
      <c r="A24" s="12"/>
      <c r="B24" s="13"/>
      <c r="C24" s="19"/>
      <c r="D24" s="19"/>
      <c r="E24" s="19"/>
      <c r="F24" s="19"/>
      <c r="G24" s="19"/>
      <c r="H24" s="19"/>
      <c r="I24" s="19"/>
      <c r="J24" s="14"/>
      <c r="K24" s="14"/>
      <c r="L24" s="15"/>
    </row>
    <row r="25" spans="1:12" s="3" customFormat="1" ht="16.5">
      <c r="A25" s="12" t="s">
        <v>17</v>
      </c>
      <c r="B25" s="13"/>
      <c r="C25" s="25"/>
      <c r="D25" s="25"/>
      <c r="E25" s="25"/>
      <c r="F25" s="25"/>
      <c r="G25" s="25"/>
      <c r="H25" s="25"/>
      <c r="I25" s="25"/>
      <c r="J25" s="17"/>
      <c r="K25" s="17"/>
      <c r="L25" s="18"/>
    </row>
    <row r="26" spans="1:12" s="4" customFormat="1" ht="16.5">
      <c r="A26" s="12" t="s">
        <v>2</v>
      </c>
      <c r="B26" s="19">
        <v>144735</v>
      </c>
      <c r="C26" s="19">
        <v>142866</v>
      </c>
      <c r="D26" s="19">
        <v>137637</v>
      </c>
      <c r="E26" s="19">
        <v>134837</v>
      </c>
      <c r="F26" s="19">
        <v>124877</v>
      </c>
      <c r="G26" s="19">
        <v>121443</v>
      </c>
      <c r="H26" s="19">
        <v>126381</v>
      </c>
      <c r="I26" s="19">
        <v>126525</v>
      </c>
      <c r="J26" s="20">
        <v>130591</v>
      </c>
      <c r="K26" s="20">
        <v>135192</v>
      </c>
      <c r="L26" s="35">
        <v>136092</v>
      </c>
    </row>
    <row r="27" spans="1:12" s="3" customFormat="1" ht="16.5">
      <c r="A27" s="21" t="s">
        <v>3</v>
      </c>
      <c r="B27" s="22">
        <v>4.6</v>
      </c>
      <c r="C27" s="23">
        <v>4.3</v>
      </c>
      <c r="D27" s="23">
        <v>3.9290618347730693</v>
      </c>
      <c r="E27" s="23">
        <v>3.9</v>
      </c>
      <c r="F27" s="23">
        <v>3.5</v>
      </c>
      <c r="G27" s="23">
        <v>3.7</v>
      </c>
      <c r="H27" s="23">
        <f>2951/$H$26*100</f>
        <v>2.335002888092356</v>
      </c>
      <c r="I27" s="23">
        <f>2879/I26*100</f>
        <v>2.2754396364354874</v>
      </c>
      <c r="J27" s="23">
        <f>2540/J26*100</f>
        <v>1.9450038670352474</v>
      </c>
      <c r="K27" s="23">
        <f>2276/K26*100</f>
        <v>1.6835315699153797</v>
      </c>
      <c r="L27" s="18">
        <v>1.7</v>
      </c>
    </row>
    <row r="28" spans="1:12" s="3" customFormat="1" ht="18">
      <c r="A28" s="21" t="s">
        <v>4</v>
      </c>
      <c r="B28" s="24" t="s">
        <v>5</v>
      </c>
      <c r="C28" s="24" t="s">
        <v>5</v>
      </c>
      <c r="D28" s="23">
        <v>7.076379857745875</v>
      </c>
      <c r="E28" s="23">
        <v>9.1</v>
      </c>
      <c r="F28" s="23">
        <v>10.5</v>
      </c>
      <c r="G28" s="23">
        <v>9</v>
      </c>
      <c r="H28" s="23">
        <f>(3811+6562)/$H$26*100</f>
        <v>8.207721097316844</v>
      </c>
      <c r="I28" s="23">
        <f>(5316+3179)/I26*100</f>
        <v>6.714088124876507</v>
      </c>
      <c r="J28" s="23">
        <f>(4985+2836)/J26*100</f>
        <v>5.98892726144987</v>
      </c>
      <c r="K28" s="23">
        <v>5.2</v>
      </c>
      <c r="L28" s="18">
        <v>5.3</v>
      </c>
    </row>
    <row r="29" spans="1:12" s="3" customFormat="1" ht="16.5">
      <c r="A29" s="21" t="s">
        <v>6</v>
      </c>
      <c r="B29" s="22">
        <v>48.2</v>
      </c>
      <c r="C29" s="23">
        <v>47.3</v>
      </c>
      <c r="D29" s="23">
        <v>36.4</v>
      </c>
      <c r="E29" s="23">
        <v>53.5</v>
      </c>
      <c r="F29" s="23">
        <v>57.9</v>
      </c>
      <c r="G29" s="23">
        <v>54.67420929983614</v>
      </c>
      <c r="H29" s="23">
        <f>(28802+20928+14394)/$H$26*100</f>
        <v>50.73863951068594</v>
      </c>
      <c r="I29" s="23">
        <f>(31409+19845+12469)/I26*100</f>
        <v>50.36395969176052</v>
      </c>
      <c r="J29" s="23">
        <f>(28718+20895+12071)/J26*100</f>
        <v>47.23449548590638</v>
      </c>
      <c r="K29" s="23">
        <v>47.3</v>
      </c>
      <c r="L29" s="18">
        <v>46.2</v>
      </c>
    </row>
    <row r="30" spans="1:12" s="3" customFormat="1" ht="18">
      <c r="A30" s="21" t="s">
        <v>7</v>
      </c>
      <c r="B30" s="24" t="s">
        <v>5</v>
      </c>
      <c r="C30" s="24" t="s">
        <v>5</v>
      </c>
      <c r="D30" s="23">
        <v>25.3</v>
      </c>
      <c r="E30" s="23">
        <v>25</v>
      </c>
      <c r="F30" s="23">
        <v>23.6</v>
      </c>
      <c r="G30" s="23">
        <v>23.89022010325832</v>
      </c>
      <c r="H30" s="23">
        <f>39143/$H$26*100</f>
        <v>30.97221892531314</v>
      </c>
      <c r="I30" s="23">
        <f>42530/I26*100</f>
        <v>33.61391029440822</v>
      </c>
      <c r="J30" s="23">
        <f>44737/J26*100</f>
        <v>34.25733779510073</v>
      </c>
      <c r="K30" s="23">
        <f>46465/K26*100</f>
        <v>34.369637256642406</v>
      </c>
      <c r="L30" s="18">
        <v>35.6</v>
      </c>
    </row>
    <row r="31" spans="1:12" s="3" customFormat="1" ht="16.5">
      <c r="A31" s="21" t="s">
        <v>8</v>
      </c>
      <c r="B31" s="22">
        <v>47.2</v>
      </c>
      <c r="C31" s="23">
        <v>48.4</v>
      </c>
      <c r="D31" s="23">
        <v>26.8</v>
      </c>
      <c r="E31" s="23">
        <v>8.5</v>
      </c>
      <c r="F31" s="23">
        <v>4.5</v>
      </c>
      <c r="G31" s="23">
        <v>8.700377955090042</v>
      </c>
      <c r="H31" s="23">
        <f>9790/$H$26*100</f>
        <v>7.746417578591719</v>
      </c>
      <c r="I31" s="23">
        <f>8898/I26*100</f>
        <v>7.032602252519266</v>
      </c>
      <c r="J31" s="23">
        <f>13809/J26*100</f>
        <v>10.574235590507769</v>
      </c>
      <c r="K31" s="23">
        <v>11.4</v>
      </c>
      <c r="L31" s="18">
        <v>11.2</v>
      </c>
    </row>
    <row r="32" spans="1:12" s="3" customFormat="1" ht="16.5">
      <c r="A32" s="21" t="s">
        <v>9</v>
      </c>
      <c r="B32" s="26" t="s">
        <v>47</v>
      </c>
      <c r="C32" s="26" t="s">
        <v>47</v>
      </c>
      <c r="D32" s="23" t="s">
        <v>10</v>
      </c>
      <c r="E32" s="16" t="s">
        <v>10</v>
      </c>
      <c r="F32" s="16" t="s">
        <v>10</v>
      </c>
      <c r="G32" s="16" t="s">
        <v>10</v>
      </c>
      <c r="H32" s="16" t="s">
        <v>10</v>
      </c>
      <c r="I32" s="16" t="s">
        <v>10</v>
      </c>
      <c r="J32" s="16" t="s">
        <v>10</v>
      </c>
      <c r="K32" s="16" t="s">
        <v>10</v>
      </c>
      <c r="L32" s="18" t="s">
        <v>10</v>
      </c>
    </row>
    <row r="33" spans="1:12" s="4" customFormat="1" ht="18">
      <c r="A33" s="12" t="s">
        <v>11</v>
      </c>
      <c r="B33" s="13" t="s">
        <v>10</v>
      </c>
      <c r="C33" s="19" t="s">
        <v>10</v>
      </c>
      <c r="D33" s="19" t="s">
        <v>10</v>
      </c>
      <c r="E33" s="19">
        <v>12740</v>
      </c>
      <c r="F33" s="19">
        <v>13294</v>
      </c>
      <c r="G33" s="19">
        <v>15708</v>
      </c>
      <c r="H33" s="56" t="s">
        <v>26</v>
      </c>
      <c r="I33" s="19">
        <v>10978</v>
      </c>
      <c r="J33" s="20">
        <v>6664</v>
      </c>
      <c r="K33" s="20">
        <v>1968</v>
      </c>
      <c r="L33" s="35">
        <v>1227</v>
      </c>
    </row>
    <row r="34" spans="1:12" s="4" customFormat="1" ht="6" customHeight="1">
      <c r="A34" s="12"/>
      <c r="B34" s="13"/>
      <c r="C34" s="19"/>
      <c r="D34" s="19"/>
      <c r="E34" s="19"/>
      <c r="F34" s="19"/>
      <c r="G34" s="19"/>
      <c r="H34" s="19" t="s">
        <v>22</v>
      </c>
      <c r="I34" s="19"/>
      <c r="J34" s="14"/>
      <c r="K34" s="14"/>
      <c r="L34" s="15"/>
    </row>
    <row r="35" spans="1:12" s="3" customFormat="1" ht="16.5">
      <c r="A35" s="12" t="s">
        <v>18</v>
      </c>
      <c r="B35" s="25"/>
      <c r="C35" s="25"/>
      <c r="D35" s="25"/>
      <c r="E35" s="25"/>
      <c r="F35" s="25"/>
      <c r="G35" s="25"/>
      <c r="H35" s="25"/>
      <c r="I35" s="25"/>
      <c r="J35" s="17"/>
      <c r="K35" s="17"/>
      <c r="L35" s="18"/>
    </row>
    <row r="36" spans="1:12" s="4" customFormat="1" ht="18">
      <c r="A36" s="12" t="s">
        <v>2</v>
      </c>
      <c r="B36" s="27">
        <v>436365</v>
      </c>
      <c r="C36" s="27">
        <v>436737</v>
      </c>
      <c r="D36" s="27">
        <v>434175</v>
      </c>
      <c r="E36" s="19">
        <v>432223</v>
      </c>
      <c r="F36" s="27">
        <v>431111</v>
      </c>
      <c r="G36" s="27">
        <v>431712</v>
      </c>
      <c r="H36" s="27">
        <v>432117</v>
      </c>
      <c r="I36" s="27">
        <v>386122</v>
      </c>
      <c r="J36" s="57" t="s">
        <v>27</v>
      </c>
      <c r="K36" s="20">
        <v>163544</v>
      </c>
      <c r="L36" s="35">
        <v>388485</v>
      </c>
    </row>
    <row r="37" spans="1:12" s="3" customFormat="1" ht="18">
      <c r="A37" s="21" t="s">
        <v>3</v>
      </c>
      <c r="B37" s="28">
        <v>8.850618175151535</v>
      </c>
      <c r="C37" s="23">
        <v>7.7</v>
      </c>
      <c r="D37" s="28">
        <v>7.848217884493581</v>
      </c>
      <c r="E37" s="23">
        <v>6.8</v>
      </c>
      <c r="F37" s="28">
        <v>6.468867646615372</v>
      </c>
      <c r="G37" s="28">
        <v>6.546000361350339</v>
      </c>
      <c r="H37" s="28">
        <f>28902/$H$36*100</f>
        <v>6.6884663181499455</v>
      </c>
      <c r="I37" s="28">
        <f>30160/I36*100</f>
        <v>7.811002740066611</v>
      </c>
      <c r="J37" s="58" t="s">
        <v>28</v>
      </c>
      <c r="K37" s="28">
        <f>15133/K36*100</f>
        <v>9.253167343344911</v>
      </c>
      <c r="L37" s="18">
        <v>8.5</v>
      </c>
    </row>
    <row r="38" spans="1:12" s="3" customFormat="1" ht="18">
      <c r="A38" s="21" t="s">
        <v>4</v>
      </c>
      <c r="B38" s="24" t="s">
        <v>5</v>
      </c>
      <c r="C38" s="24" t="s">
        <v>5</v>
      </c>
      <c r="D38" s="28">
        <v>11.044624863246387</v>
      </c>
      <c r="E38" s="23">
        <v>12.4</v>
      </c>
      <c r="F38" s="28">
        <v>11.317502916882196</v>
      </c>
      <c r="G38" s="28">
        <v>11.427472817652427</v>
      </c>
      <c r="H38" s="28">
        <f>44722/$H$36*100</f>
        <v>10.349511822029681</v>
      </c>
      <c r="I38" s="28">
        <f>47372/I36*100</f>
        <v>12.268661200346004</v>
      </c>
      <c r="J38" s="58" t="s">
        <v>29</v>
      </c>
      <c r="K38" s="28">
        <v>12.1</v>
      </c>
      <c r="L38" s="18">
        <v>12.7</v>
      </c>
    </row>
    <row r="39" spans="1:12" s="3" customFormat="1" ht="18">
      <c r="A39" s="21" t="s">
        <v>6</v>
      </c>
      <c r="B39" s="23">
        <v>43.8</v>
      </c>
      <c r="C39" s="23">
        <v>45.2</v>
      </c>
      <c r="D39" s="28">
        <v>32.29872747164162</v>
      </c>
      <c r="E39" s="23">
        <v>37.7</v>
      </c>
      <c r="F39" s="28">
        <v>33.47768904064151</v>
      </c>
      <c r="G39" s="28">
        <v>30.772224203986898</v>
      </c>
      <c r="H39" s="55" t="s">
        <v>30</v>
      </c>
      <c r="I39" s="28">
        <f>145277/I36*100</f>
        <v>37.62463677283346</v>
      </c>
      <c r="J39" s="58" t="s">
        <v>31</v>
      </c>
      <c r="K39" s="28">
        <v>33.2</v>
      </c>
      <c r="L39" s="18">
        <v>43.7</v>
      </c>
    </row>
    <row r="40" spans="1:12" s="3" customFormat="1" ht="18">
      <c r="A40" s="21" t="s">
        <v>7</v>
      </c>
      <c r="B40" s="24" t="s">
        <v>5</v>
      </c>
      <c r="C40" s="24" t="s">
        <v>5</v>
      </c>
      <c r="D40" s="28">
        <v>17.708527667415215</v>
      </c>
      <c r="E40" s="23">
        <v>16.3</v>
      </c>
      <c r="F40" s="28">
        <v>16.128560857876508</v>
      </c>
      <c r="G40" s="28">
        <v>17.39647081169478</v>
      </c>
      <c r="H40" s="28">
        <f>86405/$H$36*100</f>
        <v>19.99574189397779</v>
      </c>
      <c r="I40" s="28">
        <f>88974/I36*100</f>
        <v>23.042976054200487</v>
      </c>
      <c r="J40" s="58" t="s">
        <v>32</v>
      </c>
      <c r="K40" s="28">
        <v>20.9</v>
      </c>
      <c r="L40" s="18">
        <v>22</v>
      </c>
    </row>
    <row r="41" spans="1:12" s="3" customFormat="1" ht="18">
      <c r="A41" s="21" t="s">
        <v>8</v>
      </c>
      <c r="B41" s="28">
        <v>36.1529911885692</v>
      </c>
      <c r="C41" s="28">
        <v>36.1</v>
      </c>
      <c r="D41" s="28">
        <v>20.38256463407612</v>
      </c>
      <c r="E41" s="23">
        <v>15.9</v>
      </c>
      <c r="F41" s="28">
        <v>21.92683554815349</v>
      </c>
      <c r="G41" s="28">
        <v>23.655243980968883</v>
      </c>
      <c r="H41" s="28">
        <f>79539/$H$36*100</f>
        <v>18.406820375037316</v>
      </c>
      <c r="I41" s="28">
        <f>74339/I36*100</f>
        <v>19.252723232553443</v>
      </c>
      <c r="J41" s="58" t="s">
        <v>33</v>
      </c>
      <c r="K41" s="28">
        <v>24.5</v>
      </c>
      <c r="L41" s="18">
        <v>13.2</v>
      </c>
    </row>
    <row r="42" spans="1:12" s="3" customFormat="1" ht="16.5">
      <c r="A42" s="21" t="s">
        <v>9</v>
      </c>
      <c r="B42" s="28">
        <v>11.065736252907543</v>
      </c>
      <c r="C42" s="28">
        <v>11</v>
      </c>
      <c r="D42" s="28">
        <v>10.71733747912708</v>
      </c>
      <c r="E42" s="28">
        <v>10.859652163864332</v>
      </c>
      <c r="F42" s="28">
        <v>10.680543989830925</v>
      </c>
      <c r="G42" s="28">
        <v>10.202587824346674</v>
      </c>
      <c r="H42" s="28">
        <f>43811/$H$36*100</f>
        <v>10.138689290169097</v>
      </c>
      <c r="I42" s="23" t="s">
        <v>10</v>
      </c>
      <c r="J42" s="29" t="s">
        <v>10</v>
      </c>
      <c r="K42" s="23" t="s">
        <v>10</v>
      </c>
      <c r="L42" s="18" t="s">
        <v>10</v>
      </c>
    </row>
    <row r="43" spans="1:12" s="4" customFormat="1" ht="18.75" thickBot="1">
      <c r="A43" s="30" t="s">
        <v>34</v>
      </c>
      <c r="B43" s="31" t="s">
        <v>10</v>
      </c>
      <c r="C43" s="31" t="s">
        <v>10</v>
      </c>
      <c r="D43" s="31" t="s">
        <v>10</v>
      </c>
      <c r="E43" s="31" t="s">
        <v>10</v>
      </c>
      <c r="F43" s="31" t="s">
        <v>10</v>
      </c>
      <c r="G43" s="31" t="s">
        <v>10</v>
      </c>
      <c r="H43" s="31" t="s">
        <v>10</v>
      </c>
      <c r="I43" s="31">
        <v>2402</v>
      </c>
      <c r="J43" s="59" t="s">
        <v>35</v>
      </c>
      <c r="K43" s="38" t="s">
        <v>23</v>
      </c>
      <c r="L43" s="39" t="s">
        <v>23</v>
      </c>
    </row>
    <row r="44" spans="1:12" s="3" customFormat="1" ht="12.75" customHeight="1">
      <c r="A44" s="6"/>
      <c r="B44" s="1"/>
      <c r="C44" s="1"/>
      <c r="D44" s="1"/>
      <c r="E44" s="1"/>
      <c r="F44" s="1"/>
      <c r="G44" s="1"/>
      <c r="H44" s="5"/>
      <c r="I44" s="5"/>
      <c r="J44" s="2"/>
      <c r="L44" s="67" t="s">
        <v>79</v>
      </c>
    </row>
    <row r="45" spans="1:12" s="3" customFormat="1" ht="16.5" customHeight="1" thickBot="1">
      <c r="A45" s="68" t="s">
        <v>80</v>
      </c>
      <c r="B45" s="63"/>
      <c r="C45" s="63"/>
      <c r="D45" s="63"/>
      <c r="E45" s="63"/>
      <c r="F45" s="63"/>
      <c r="G45" s="63"/>
      <c r="H45" s="63"/>
      <c r="I45" s="63"/>
      <c r="J45" s="64"/>
      <c r="K45" s="65"/>
      <c r="L45" s="66"/>
    </row>
    <row r="46" spans="1:12" s="3" customFormat="1" ht="16.5">
      <c r="A46" s="11"/>
      <c r="B46" s="32" t="s">
        <v>64</v>
      </c>
      <c r="C46" s="32" t="s">
        <v>65</v>
      </c>
      <c r="D46" s="32" t="s">
        <v>66</v>
      </c>
      <c r="E46" s="32" t="s">
        <v>67</v>
      </c>
      <c r="F46" s="32" t="s">
        <v>68</v>
      </c>
      <c r="G46" s="32" t="s">
        <v>69</v>
      </c>
      <c r="H46" s="32" t="s">
        <v>70</v>
      </c>
      <c r="I46" s="32" t="s">
        <v>71</v>
      </c>
      <c r="J46" s="32" t="s">
        <v>72</v>
      </c>
      <c r="K46" s="32" t="s">
        <v>73</v>
      </c>
      <c r="L46" s="32" t="s">
        <v>74</v>
      </c>
    </row>
    <row r="47" spans="1:12" s="7" customFormat="1" ht="15" customHeight="1">
      <c r="A47" s="12" t="s">
        <v>12</v>
      </c>
      <c r="B47" s="13"/>
      <c r="C47" s="13"/>
      <c r="D47" s="13"/>
      <c r="E47" s="13"/>
      <c r="F47" s="13"/>
      <c r="G47" s="13"/>
      <c r="H47" s="13"/>
      <c r="I47" s="13"/>
      <c r="J47" s="40"/>
      <c r="K47" s="40"/>
      <c r="L47" s="41"/>
    </row>
    <row r="48" spans="1:12" s="7" customFormat="1" ht="6" customHeight="1">
      <c r="A48" s="12"/>
      <c r="B48" s="13"/>
      <c r="C48" s="13"/>
      <c r="D48" s="13"/>
      <c r="E48" s="13"/>
      <c r="F48" s="13"/>
      <c r="G48" s="13"/>
      <c r="H48" s="13"/>
      <c r="I48" s="13"/>
      <c r="J48" s="40"/>
      <c r="K48" s="40"/>
      <c r="L48" s="41"/>
    </row>
    <row r="49" spans="1:12" s="3" customFormat="1" ht="16.5">
      <c r="A49" s="12" t="s">
        <v>15</v>
      </c>
      <c r="B49" s="25"/>
      <c r="C49" s="25"/>
      <c r="D49" s="25"/>
      <c r="E49" s="25"/>
      <c r="F49" s="25"/>
      <c r="G49" s="25"/>
      <c r="H49" s="25"/>
      <c r="I49" s="25"/>
      <c r="J49" s="17"/>
      <c r="K49" s="17"/>
      <c r="L49" s="18"/>
    </row>
    <row r="50" spans="1:12" s="4" customFormat="1" ht="16.5">
      <c r="A50" s="12" t="s">
        <v>2</v>
      </c>
      <c r="B50" s="27">
        <v>11527</v>
      </c>
      <c r="C50" s="27">
        <v>11603</v>
      </c>
      <c r="D50" s="27">
        <v>12466</v>
      </c>
      <c r="E50" s="27">
        <v>10738</v>
      </c>
      <c r="F50" s="27">
        <v>12338</v>
      </c>
      <c r="G50" s="27">
        <v>12307</v>
      </c>
      <c r="H50" s="27">
        <v>12430</v>
      </c>
      <c r="I50" s="27">
        <v>12477</v>
      </c>
      <c r="J50" s="20">
        <v>12231</v>
      </c>
      <c r="K50" s="20">
        <v>13109</v>
      </c>
      <c r="L50" s="35">
        <v>13139</v>
      </c>
    </row>
    <row r="51" spans="1:12" s="3" customFormat="1" ht="16.5">
      <c r="A51" s="21" t="s">
        <v>3</v>
      </c>
      <c r="B51" s="28">
        <v>8.6</v>
      </c>
      <c r="C51" s="23">
        <v>7.7</v>
      </c>
      <c r="D51" s="28">
        <v>7.09128830418739</v>
      </c>
      <c r="E51" s="28">
        <v>10.6</v>
      </c>
      <c r="F51" s="28">
        <v>13</v>
      </c>
      <c r="G51" s="28">
        <v>10.4</v>
      </c>
      <c r="H51" s="28">
        <f>(169+325+578)/$H$50*100</f>
        <v>8.624296057924377</v>
      </c>
      <c r="I51" s="28">
        <f>(576+305+244)/I50*100</f>
        <v>9.016590526568887</v>
      </c>
      <c r="J51" s="28">
        <f>(571+289+285)/J50*100</f>
        <v>9.361458588831658</v>
      </c>
      <c r="K51" s="28">
        <f>(199+239+514)/K50*100</f>
        <v>7.2621862842322065</v>
      </c>
      <c r="L51" s="18">
        <v>6.5</v>
      </c>
    </row>
    <row r="52" spans="1:12" s="3" customFormat="1" ht="18">
      <c r="A52" s="21" t="s">
        <v>4</v>
      </c>
      <c r="B52" s="24" t="s">
        <v>5</v>
      </c>
      <c r="C52" s="24" t="s">
        <v>5</v>
      </c>
      <c r="D52" s="23">
        <v>13.2</v>
      </c>
      <c r="E52" s="28">
        <v>30.9</v>
      </c>
      <c r="F52" s="28">
        <v>29.9</v>
      </c>
      <c r="G52" s="28">
        <v>26.8</v>
      </c>
      <c r="H52" s="28">
        <f>(1181+2339)/$H$50*100</f>
        <v>28.31858407079646</v>
      </c>
      <c r="I52" s="28">
        <f>(2135+1235)/I50*100</f>
        <v>27.00969784403302</v>
      </c>
      <c r="J52" s="28">
        <f>(1912+1212)/J50*100</f>
        <v>25.541656446733707</v>
      </c>
      <c r="K52" s="28">
        <v>23.1</v>
      </c>
      <c r="L52" s="18">
        <v>21.7</v>
      </c>
    </row>
    <row r="53" spans="1:12" s="3" customFormat="1" ht="16.5">
      <c r="A53" s="21" t="s">
        <v>6</v>
      </c>
      <c r="B53" s="23">
        <v>32.2</v>
      </c>
      <c r="C53" s="23">
        <v>32.3</v>
      </c>
      <c r="D53" s="23">
        <v>17.022300657789184</v>
      </c>
      <c r="E53" s="28">
        <v>23.6</v>
      </c>
      <c r="F53" s="28">
        <v>24.2</v>
      </c>
      <c r="G53" s="28">
        <v>23.8</v>
      </c>
      <c r="H53" s="28">
        <f>(3068)/$H$50*100</f>
        <v>24.682220434432825</v>
      </c>
      <c r="I53" s="28">
        <f>3041/I50*100</f>
        <v>24.37284603670754</v>
      </c>
      <c r="J53" s="28">
        <f>2664/J50*100</f>
        <v>21.78072111846946</v>
      </c>
      <c r="K53" s="28">
        <v>22.6</v>
      </c>
      <c r="L53" s="18">
        <v>21.4</v>
      </c>
    </row>
    <row r="54" spans="1:12" s="3" customFormat="1" ht="18">
      <c r="A54" s="21" t="s">
        <v>7</v>
      </c>
      <c r="B54" s="24" t="s">
        <v>5</v>
      </c>
      <c r="C54" s="24" t="s">
        <v>5</v>
      </c>
      <c r="D54" s="23">
        <v>27.972084068666774</v>
      </c>
      <c r="E54" s="28">
        <v>28.3</v>
      </c>
      <c r="F54" s="28">
        <v>26.7</v>
      </c>
      <c r="G54" s="28">
        <v>27.53717396603559</v>
      </c>
      <c r="H54" s="28">
        <f>(3822)/$H$50*100</f>
        <v>30.74818986323411</v>
      </c>
      <c r="I54" s="28">
        <f>4107/I50*100</f>
        <v>32.91656648232748</v>
      </c>
      <c r="J54" s="28">
        <f>3909/J50*100</f>
        <v>31.959774343880305</v>
      </c>
      <c r="K54" s="28">
        <v>34.9</v>
      </c>
      <c r="L54" s="18">
        <v>37.1</v>
      </c>
    </row>
    <row r="55" spans="1:12" s="3" customFormat="1" ht="16.5">
      <c r="A55" s="21" t="s">
        <v>8</v>
      </c>
      <c r="B55" s="28">
        <v>59.1</v>
      </c>
      <c r="C55" s="23">
        <v>60</v>
      </c>
      <c r="D55" s="28">
        <v>34.7</v>
      </c>
      <c r="E55" s="28">
        <v>6.5</v>
      </c>
      <c r="F55" s="28">
        <v>6.2</v>
      </c>
      <c r="G55" s="28">
        <v>11.391890793857154</v>
      </c>
      <c r="H55" s="28">
        <f>(948)/$H$50*100</f>
        <v>7.626709573612228</v>
      </c>
      <c r="I55" s="28">
        <f>834/I50*100</f>
        <v>6.684299110363067</v>
      </c>
      <c r="J55" s="28">
        <f>1389/J50*100</f>
        <v>11.356389502084866</v>
      </c>
      <c r="K55" s="28">
        <v>12</v>
      </c>
      <c r="L55" s="18">
        <v>13.3</v>
      </c>
    </row>
    <row r="56" spans="1:12" s="3" customFormat="1" ht="16.5">
      <c r="A56" s="21" t="s">
        <v>9</v>
      </c>
      <c r="B56" s="16" t="s">
        <v>10</v>
      </c>
      <c r="C56" s="16" t="s">
        <v>10</v>
      </c>
      <c r="D56" s="16" t="s">
        <v>10</v>
      </c>
      <c r="E56" s="16" t="s">
        <v>10</v>
      </c>
      <c r="F56" s="16" t="s">
        <v>10</v>
      </c>
      <c r="G56" s="16" t="s">
        <v>10</v>
      </c>
      <c r="H56" s="16" t="s">
        <v>10</v>
      </c>
      <c r="I56" s="16" t="s">
        <v>10</v>
      </c>
      <c r="J56" s="16" t="s">
        <v>10</v>
      </c>
      <c r="K56" s="16" t="s">
        <v>10</v>
      </c>
      <c r="L56" s="18" t="s">
        <v>10</v>
      </c>
    </row>
    <row r="57" spans="1:12" s="3" customFormat="1" ht="16.5">
      <c r="A57" s="12" t="s">
        <v>11</v>
      </c>
      <c r="B57" s="19" t="s">
        <v>10</v>
      </c>
      <c r="C57" s="19" t="s">
        <v>10</v>
      </c>
      <c r="D57" s="19" t="s">
        <v>10</v>
      </c>
      <c r="E57" s="27">
        <v>2140</v>
      </c>
      <c r="F57" s="27">
        <v>788</v>
      </c>
      <c r="G57" s="27">
        <v>857</v>
      </c>
      <c r="H57" s="27">
        <v>787</v>
      </c>
      <c r="I57" s="27">
        <v>771</v>
      </c>
      <c r="J57" s="27">
        <v>1040</v>
      </c>
      <c r="K57" s="27">
        <v>230</v>
      </c>
      <c r="L57" s="15">
        <v>226</v>
      </c>
    </row>
    <row r="58" spans="1:12" s="3" customFormat="1" ht="6" customHeight="1">
      <c r="A58" s="12"/>
      <c r="B58" s="16"/>
      <c r="C58" s="16"/>
      <c r="D58" s="16"/>
      <c r="E58" s="25"/>
      <c r="F58" s="25"/>
      <c r="G58" s="25"/>
      <c r="H58" s="25"/>
      <c r="I58" s="25"/>
      <c r="J58" s="17"/>
      <c r="K58" s="17"/>
      <c r="L58" s="18"/>
    </row>
    <row r="59" spans="1:12" s="3" customFormat="1" ht="16.5">
      <c r="A59" s="42" t="s">
        <v>13</v>
      </c>
      <c r="B59" s="16"/>
      <c r="C59" s="16"/>
      <c r="D59" s="16"/>
      <c r="E59" s="16"/>
      <c r="F59" s="16"/>
      <c r="G59" s="16"/>
      <c r="H59" s="16"/>
      <c r="I59" s="16"/>
      <c r="J59" s="17"/>
      <c r="K59" s="17"/>
      <c r="L59" s="18"/>
    </row>
    <row r="60" spans="1:12" s="3" customFormat="1" ht="12.75" customHeight="1">
      <c r="A60" s="42" t="s">
        <v>14</v>
      </c>
      <c r="B60" s="16"/>
      <c r="C60" s="16"/>
      <c r="D60" s="16"/>
      <c r="E60" s="16"/>
      <c r="F60" s="16"/>
      <c r="G60" s="16"/>
      <c r="H60" s="16"/>
      <c r="I60" s="16"/>
      <c r="J60" s="17"/>
      <c r="K60" s="17"/>
      <c r="L60" s="18"/>
    </row>
    <row r="61" spans="1:12" s="4" customFormat="1" ht="16.5">
      <c r="A61" s="12" t="s">
        <v>2</v>
      </c>
      <c r="B61" s="19">
        <v>7670</v>
      </c>
      <c r="C61" s="19">
        <v>7714</v>
      </c>
      <c r="D61" s="19">
        <v>8465</v>
      </c>
      <c r="E61" s="19">
        <v>7011</v>
      </c>
      <c r="F61" s="19">
        <v>7618</v>
      </c>
      <c r="G61" s="19">
        <v>7804</v>
      </c>
      <c r="H61" s="19">
        <v>8410</v>
      </c>
      <c r="I61" s="19">
        <v>8480</v>
      </c>
      <c r="J61" s="20">
        <v>8772</v>
      </c>
      <c r="K61" s="20">
        <v>8860</v>
      </c>
      <c r="L61" s="35">
        <v>8794</v>
      </c>
    </row>
    <row r="62" spans="1:12" s="3" customFormat="1" ht="16.5">
      <c r="A62" s="21" t="s">
        <v>3</v>
      </c>
      <c r="B62" s="23">
        <v>2.2</v>
      </c>
      <c r="C62" s="23">
        <v>2.3</v>
      </c>
      <c r="D62" s="23">
        <v>2.598936798582398</v>
      </c>
      <c r="E62" s="23">
        <v>3.8</v>
      </c>
      <c r="F62" s="23">
        <v>5.3</v>
      </c>
      <c r="G62" s="23">
        <v>4.766786263454638</v>
      </c>
      <c r="H62" s="23">
        <f>283/$H$61*100</f>
        <v>3.3650416171224733</v>
      </c>
      <c r="I62" s="23">
        <v>3.3</v>
      </c>
      <c r="J62" s="23">
        <f>(285)/J61*100</f>
        <v>3.248974008207935</v>
      </c>
      <c r="K62" s="23">
        <f>(234)/K61*100</f>
        <v>2.6410835214446955</v>
      </c>
      <c r="L62" s="18">
        <v>2.8</v>
      </c>
    </row>
    <row r="63" spans="1:12" s="3" customFormat="1" ht="18">
      <c r="A63" s="21" t="s">
        <v>4</v>
      </c>
      <c r="B63" s="24" t="s">
        <v>5</v>
      </c>
      <c r="C63" s="24" t="s">
        <v>5</v>
      </c>
      <c r="D63" s="23">
        <v>5.894861193148258</v>
      </c>
      <c r="E63" s="23">
        <v>9.4</v>
      </c>
      <c r="F63" s="23">
        <v>12.7</v>
      </c>
      <c r="G63" s="23">
        <v>9.828293182983087</v>
      </c>
      <c r="H63" s="23">
        <f>(483+252)/$H$61*100</f>
        <v>8.73959571938169</v>
      </c>
      <c r="I63" s="23">
        <v>8.7</v>
      </c>
      <c r="J63" s="23">
        <f>(490+277)/J61*100</f>
        <v>8.743730050159598</v>
      </c>
      <c r="K63" s="23">
        <v>8</v>
      </c>
      <c r="L63" s="18">
        <v>8.1</v>
      </c>
    </row>
    <row r="64" spans="1:12" s="3" customFormat="1" ht="16.5">
      <c r="A64" s="21" t="s">
        <v>6</v>
      </c>
      <c r="B64" s="23">
        <v>43.9</v>
      </c>
      <c r="C64" s="23">
        <v>44.2</v>
      </c>
      <c r="D64" s="23">
        <v>32.4</v>
      </c>
      <c r="E64" s="23">
        <v>60.6</v>
      </c>
      <c r="F64" s="23">
        <v>58.1</v>
      </c>
      <c r="G64" s="23">
        <v>54.702716555612504</v>
      </c>
      <c r="H64" s="23">
        <f>(1114+1704+1786)/$H$61*100</f>
        <v>54.74435196195005</v>
      </c>
      <c r="I64" s="23">
        <v>58.5</v>
      </c>
      <c r="J64" s="23">
        <f>(1968+1643+1153)/J61*100</f>
        <v>54.309165526675784</v>
      </c>
      <c r="K64" s="23">
        <v>53.6</v>
      </c>
      <c r="L64" s="18">
        <v>50.6</v>
      </c>
    </row>
    <row r="65" spans="1:12" s="3" customFormat="1" ht="18">
      <c r="A65" s="21" t="s">
        <v>7</v>
      </c>
      <c r="B65" s="24" t="s">
        <v>5</v>
      </c>
      <c r="C65" s="24" t="s">
        <v>5</v>
      </c>
      <c r="D65" s="23">
        <v>28.1</v>
      </c>
      <c r="E65" s="23">
        <v>22.7</v>
      </c>
      <c r="F65" s="23">
        <v>20.9</v>
      </c>
      <c r="G65" s="23">
        <v>20.425422860071755</v>
      </c>
      <c r="H65" s="23">
        <f>2214/$H$61*100</f>
        <v>26.325802615933412</v>
      </c>
      <c r="I65" s="23">
        <v>25.2</v>
      </c>
      <c r="J65" s="23">
        <f>2379/J61*100</f>
        <v>27.120383036935703</v>
      </c>
      <c r="K65" s="23">
        <v>30</v>
      </c>
      <c r="L65" s="18">
        <v>31.6</v>
      </c>
    </row>
    <row r="66" spans="1:12" s="3" customFormat="1" ht="16.5">
      <c r="A66" s="21" t="s">
        <v>8</v>
      </c>
      <c r="B66" s="23">
        <v>53.9</v>
      </c>
      <c r="C66" s="23">
        <v>53.5</v>
      </c>
      <c r="D66" s="23">
        <v>31</v>
      </c>
      <c r="E66" s="23">
        <v>3.5</v>
      </c>
      <c r="F66" s="23">
        <v>2.9</v>
      </c>
      <c r="G66" s="23">
        <v>10.276781137878013</v>
      </c>
      <c r="H66" s="23">
        <f>574/$H$61*100</f>
        <v>6.825208085612367</v>
      </c>
      <c r="I66" s="23">
        <v>4.2</v>
      </c>
      <c r="J66" s="23">
        <f>577/J61*100</f>
        <v>6.577747378020976</v>
      </c>
      <c r="K66" s="23">
        <v>6.8</v>
      </c>
      <c r="L66" s="18">
        <v>6.8</v>
      </c>
    </row>
    <row r="67" spans="1:12" s="3" customFormat="1" ht="16.5">
      <c r="A67" s="21" t="s">
        <v>9</v>
      </c>
      <c r="B67" s="16" t="s">
        <v>10</v>
      </c>
      <c r="C67" s="16" t="s">
        <v>10</v>
      </c>
      <c r="D67" s="16" t="s">
        <v>10</v>
      </c>
      <c r="E67" s="16" t="s">
        <v>10</v>
      </c>
      <c r="F67" s="16" t="s">
        <v>10</v>
      </c>
      <c r="G67" s="16" t="s">
        <v>10</v>
      </c>
      <c r="H67" s="16" t="s">
        <v>10</v>
      </c>
      <c r="I67" s="16" t="s">
        <v>10</v>
      </c>
      <c r="J67" s="16" t="s">
        <v>10</v>
      </c>
      <c r="K67" s="16" t="s">
        <v>10</v>
      </c>
      <c r="L67" s="18" t="s">
        <v>10</v>
      </c>
    </row>
    <row r="68" spans="1:12" s="3" customFormat="1" ht="18">
      <c r="A68" s="12" t="s">
        <v>11</v>
      </c>
      <c r="B68" s="19" t="s">
        <v>10</v>
      </c>
      <c r="C68" s="19" t="s">
        <v>10</v>
      </c>
      <c r="D68" s="19" t="s">
        <v>10</v>
      </c>
      <c r="E68" s="19">
        <v>1846</v>
      </c>
      <c r="F68" s="19">
        <v>1377</v>
      </c>
      <c r="G68" s="19">
        <v>1166</v>
      </c>
      <c r="H68" s="56" t="s">
        <v>48</v>
      </c>
      <c r="I68" s="19">
        <v>579</v>
      </c>
      <c r="J68" s="19">
        <v>397</v>
      </c>
      <c r="K68" s="19">
        <v>281</v>
      </c>
      <c r="L68" s="15">
        <v>355</v>
      </c>
    </row>
    <row r="69" spans="1:12" s="3" customFormat="1" ht="6" customHeight="1">
      <c r="A69" s="12"/>
      <c r="B69" s="16"/>
      <c r="C69" s="16"/>
      <c r="D69" s="16"/>
      <c r="E69" s="16"/>
      <c r="F69" s="16"/>
      <c r="G69" s="16"/>
      <c r="H69" s="16"/>
      <c r="I69" s="16"/>
      <c r="J69" s="17"/>
      <c r="K69" s="17"/>
      <c r="L69" s="18"/>
    </row>
    <row r="70" spans="1:12" s="3" customFormat="1" ht="16.5">
      <c r="A70" s="12" t="s">
        <v>16</v>
      </c>
      <c r="B70" s="25"/>
      <c r="C70" s="25"/>
      <c r="D70" s="25"/>
      <c r="E70" s="25"/>
      <c r="F70" s="25"/>
      <c r="G70" s="25"/>
      <c r="H70" s="25"/>
      <c r="I70" s="25"/>
      <c r="J70" s="17"/>
      <c r="K70" s="17"/>
      <c r="L70" s="18"/>
    </row>
    <row r="71" spans="1:12" s="4" customFormat="1" ht="16.5">
      <c r="A71" s="12" t="s">
        <v>2</v>
      </c>
      <c r="B71" s="19">
        <v>51987</v>
      </c>
      <c r="C71" s="19">
        <v>52349</v>
      </c>
      <c r="D71" s="19">
        <v>52165</v>
      </c>
      <c r="E71" s="19">
        <v>30337</v>
      </c>
      <c r="F71" s="19">
        <v>38598</v>
      </c>
      <c r="G71" s="19">
        <v>41444</v>
      </c>
      <c r="H71" s="19">
        <v>44498</v>
      </c>
      <c r="I71" s="19">
        <v>45009</v>
      </c>
      <c r="J71" s="20">
        <v>44886</v>
      </c>
      <c r="K71" s="20">
        <v>48045</v>
      </c>
      <c r="L71" s="35">
        <v>47797</v>
      </c>
    </row>
    <row r="72" spans="1:12" s="3" customFormat="1" ht="16.5">
      <c r="A72" s="21" t="s">
        <v>3</v>
      </c>
      <c r="B72" s="23">
        <v>5.9</v>
      </c>
      <c r="C72" s="23">
        <v>6.6</v>
      </c>
      <c r="D72" s="23">
        <v>6.7765743314482885</v>
      </c>
      <c r="E72" s="23">
        <v>9.2</v>
      </c>
      <c r="F72" s="23">
        <v>12.5</v>
      </c>
      <c r="G72" s="23">
        <v>12.431232506514815</v>
      </c>
      <c r="H72" s="23">
        <f>5245/$H$71*100</f>
        <v>11.787046608836352</v>
      </c>
      <c r="I72" s="23">
        <v>12.1</v>
      </c>
      <c r="J72" s="23">
        <f>(5772)/J71*100</f>
        <v>12.859243416655527</v>
      </c>
      <c r="K72" s="23">
        <f>(6003)/K71*100</f>
        <v>12.494536372151108</v>
      </c>
      <c r="L72" s="18">
        <v>13.2</v>
      </c>
    </row>
    <row r="73" spans="1:12" s="3" customFormat="1" ht="18">
      <c r="A73" s="21" t="s">
        <v>4</v>
      </c>
      <c r="B73" s="24" t="s">
        <v>5</v>
      </c>
      <c r="C73" s="24" t="s">
        <v>5</v>
      </c>
      <c r="D73" s="23">
        <v>11.5</v>
      </c>
      <c r="E73" s="23">
        <v>13.3</v>
      </c>
      <c r="F73" s="23">
        <v>16.3</v>
      </c>
      <c r="G73" s="23">
        <v>14.71141781681305</v>
      </c>
      <c r="H73" s="23">
        <f>(2751+3511)/$H$71*100</f>
        <v>14.072542586183648</v>
      </c>
      <c r="I73" s="23">
        <v>14.6</v>
      </c>
      <c r="J73" s="23">
        <f>(3233+5051)/J71*100</f>
        <v>18.45564318495745</v>
      </c>
      <c r="K73" s="23">
        <f>(3315+5363)/K71*100</f>
        <v>18.062233322926424</v>
      </c>
      <c r="L73" s="18">
        <v>16.8</v>
      </c>
    </row>
    <row r="74" spans="1:12" s="3" customFormat="1" ht="16.5">
      <c r="A74" s="21" t="s">
        <v>6</v>
      </c>
      <c r="B74" s="23">
        <v>49</v>
      </c>
      <c r="C74" s="23">
        <v>49.1</v>
      </c>
      <c r="D74" s="23">
        <v>34.8</v>
      </c>
      <c r="E74" s="23">
        <v>55</v>
      </c>
      <c r="F74" s="23">
        <v>50.8</v>
      </c>
      <c r="G74" s="23">
        <v>47.20828105395232</v>
      </c>
      <c r="H74" s="23">
        <f>(6074+8517+7174)/$H$71*100</f>
        <v>48.912310665647894</v>
      </c>
      <c r="I74" s="23">
        <v>49.5</v>
      </c>
      <c r="J74" s="23">
        <f>(6047+7024+7240)/J71*100</f>
        <v>45.250189368622735</v>
      </c>
      <c r="K74" s="23">
        <v>45.2</v>
      </c>
      <c r="L74" s="18">
        <v>45.1</v>
      </c>
    </row>
    <row r="75" spans="1:12" s="3" customFormat="1" ht="18">
      <c r="A75" s="21" t="s">
        <v>7</v>
      </c>
      <c r="B75" s="24" t="s">
        <v>5</v>
      </c>
      <c r="C75" s="24" t="s">
        <v>5</v>
      </c>
      <c r="D75" s="23">
        <v>21.447330585641712</v>
      </c>
      <c r="E75" s="23">
        <v>19.3364881192106</v>
      </c>
      <c r="F75" s="23">
        <v>16.6</v>
      </c>
      <c r="G75" s="23">
        <v>15.944406910529871</v>
      </c>
      <c r="H75" s="23">
        <f>7792/$H$71*100</f>
        <v>17.51089936626365</v>
      </c>
      <c r="I75" s="23">
        <v>17.8</v>
      </c>
      <c r="J75" s="23">
        <f>7907/J71*100</f>
        <v>17.6157376464822</v>
      </c>
      <c r="K75" s="23">
        <v>18.8</v>
      </c>
      <c r="L75" s="18">
        <v>19.4</v>
      </c>
    </row>
    <row r="76" spans="1:12" s="3" customFormat="1" ht="16.5">
      <c r="A76" s="21" t="s">
        <v>8</v>
      </c>
      <c r="B76" s="23">
        <v>45.1</v>
      </c>
      <c r="C76" s="23">
        <v>44.3</v>
      </c>
      <c r="D76" s="23">
        <v>25.338828716572415</v>
      </c>
      <c r="E76" s="23">
        <v>3.3</v>
      </c>
      <c r="F76" s="23">
        <v>3.8</v>
      </c>
      <c r="G76" s="23">
        <v>9.704661712189944</v>
      </c>
      <c r="H76" s="23">
        <f>3434/$H$71*100</f>
        <v>7.717200773068453</v>
      </c>
      <c r="I76" s="23">
        <v>6</v>
      </c>
      <c r="J76" s="23">
        <f>2612/J71*100</f>
        <v>5.8191863832820925</v>
      </c>
      <c r="K76" s="23">
        <v>5.4</v>
      </c>
      <c r="L76" s="18">
        <v>5.4</v>
      </c>
    </row>
    <row r="77" spans="1:12" s="3" customFormat="1" ht="16.5">
      <c r="A77" s="21" t="s">
        <v>9</v>
      </c>
      <c r="B77" s="16" t="s">
        <v>10</v>
      </c>
      <c r="C77" s="23" t="s">
        <v>10</v>
      </c>
      <c r="D77" s="16" t="s">
        <v>10</v>
      </c>
      <c r="E77" s="16" t="s">
        <v>10</v>
      </c>
      <c r="F77" s="16" t="s">
        <v>10</v>
      </c>
      <c r="G77" s="16" t="s">
        <v>10</v>
      </c>
      <c r="H77" s="16" t="s">
        <v>10</v>
      </c>
      <c r="I77" s="16" t="s">
        <v>10</v>
      </c>
      <c r="J77" s="16" t="s">
        <v>10</v>
      </c>
      <c r="K77" s="16" t="s">
        <v>10</v>
      </c>
      <c r="L77" s="18" t="s">
        <v>10</v>
      </c>
    </row>
    <row r="78" spans="1:12" s="3" customFormat="1" ht="16.5">
      <c r="A78" s="12" t="s">
        <v>11</v>
      </c>
      <c r="B78" s="19" t="s">
        <v>10</v>
      </c>
      <c r="C78" s="19" t="s">
        <v>10</v>
      </c>
      <c r="D78" s="19" t="s">
        <v>10</v>
      </c>
      <c r="E78" s="19">
        <v>22498</v>
      </c>
      <c r="F78" s="19">
        <v>14492</v>
      </c>
      <c r="G78" s="19">
        <v>11352</v>
      </c>
      <c r="H78" s="19">
        <v>8485</v>
      </c>
      <c r="I78" s="19">
        <v>8209</v>
      </c>
      <c r="J78" s="19">
        <v>8246</v>
      </c>
      <c r="K78" s="19">
        <v>5154</v>
      </c>
      <c r="L78" s="35">
        <v>5518</v>
      </c>
    </row>
    <row r="79" spans="1:12" s="3" customFormat="1" ht="6" customHeight="1">
      <c r="A79" s="12"/>
      <c r="B79" s="16"/>
      <c r="C79" s="16"/>
      <c r="D79" s="16"/>
      <c r="E79" s="16"/>
      <c r="F79" s="16"/>
      <c r="G79" s="16"/>
      <c r="H79" s="16"/>
      <c r="I79" s="16"/>
      <c r="J79" s="17"/>
      <c r="K79" s="17"/>
      <c r="L79" s="18"/>
    </row>
    <row r="80" spans="1:12" s="3" customFormat="1" ht="16.5">
      <c r="A80" s="12" t="s">
        <v>17</v>
      </c>
      <c r="B80" s="25"/>
      <c r="C80" s="25"/>
      <c r="D80" s="25"/>
      <c r="E80" s="25"/>
      <c r="F80" s="25"/>
      <c r="G80" s="25"/>
      <c r="H80" s="25"/>
      <c r="I80" s="25"/>
      <c r="J80" s="17"/>
      <c r="K80" s="17"/>
      <c r="L80" s="18"/>
    </row>
    <row r="81" spans="1:12" s="4" customFormat="1" ht="18">
      <c r="A81" s="12" t="s">
        <v>2</v>
      </c>
      <c r="B81" s="19">
        <v>74656</v>
      </c>
      <c r="C81" s="19">
        <v>74979</v>
      </c>
      <c r="D81" s="19">
        <v>80368</v>
      </c>
      <c r="E81" s="19">
        <v>86819</v>
      </c>
      <c r="F81" s="19">
        <v>87852</v>
      </c>
      <c r="G81" s="19">
        <v>88510</v>
      </c>
      <c r="H81" s="19">
        <v>89020</v>
      </c>
      <c r="I81" s="19">
        <v>88484</v>
      </c>
      <c r="J81" s="57" t="s">
        <v>49</v>
      </c>
      <c r="K81" s="20">
        <v>43481</v>
      </c>
      <c r="L81" s="35">
        <v>88339</v>
      </c>
    </row>
    <row r="82" spans="1:12" s="3" customFormat="1" ht="18">
      <c r="A82" s="21" t="s">
        <v>3</v>
      </c>
      <c r="B82" s="23">
        <v>8.9</v>
      </c>
      <c r="C82" s="23">
        <v>7.4</v>
      </c>
      <c r="D82" s="23">
        <v>7.875024885526578</v>
      </c>
      <c r="E82" s="23">
        <v>7.9</v>
      </c>
      <c r="F82" s="23">
        <v>6.736329281063607</v>
      </c>
      <c r="G82" s="23">
        <v>6.720144616427522</v>
      </c>
      <c r="H82" s="23">
        <f>6179/$H$81*100</f>
        <v>6.941136823185801</v>
      </c>
      <c r="I82" s="23">
        <f>6337/I81*100</f>
        <v>7.161746756475747</v>
      </c>
      <c r="J82" s="55" t="s">
        <v>50</v>
      </c>
      <c r="K82" s="23">
        <v>5.8</v>
      </c>
      <c r="L82" s="36">
        <v>10</v>
      </c>
    </row>
    <row r="83" spans="1:12" s="3" customFormat="1" ht="18">
      <c r="A83" s="21" t="s">
        <v>4</v>
      </c>
      <c r="B83" s="24" t="s">
        <v>5</v>
      </c>
      <c r="C83" s="24" t="s">
        <v>5</v>
      </c>
      <c r="D83" s="23">
        <v>14.3</v>
      </c>
      <c r="E83" s="23">
        <v>13.8</v>
      </c>
      <c r="F83" s="23">
        <v>12.291125984610481</v>
      </c>
      <c r="G83" s="23">
        <v>13.60298271381765</v>
      </c>
      <c r="H83" s="23">
        <f>11529/$H$81*100</f>
        <v>12.951022242192767</v>
      </c>
      <c r="I83" s="23">
        <f>11537/I81*100</f>
        <v>13.038515437819267</v>
      </c>
      <c r="J83" s="23">
        <v>12.2</v>
      </c>
      <c r="K83" s="23">
        <v>11.7</v>
      </c>
      <c r="L83" s="36">
        <v>16</v>
      </c>
    </row>
    <row r="84" spans="1:12" s="3" customFormat="1" ht="18">
      <c r="A84" s="21" t="s">
        <v>6</v>
      </c>
      <c r="B84" s="23">
        <v>48.5</v>
      </c>
      <c r="C84" s="23">
        <v>49.9</v>
      </c>
      <c r="D84" s="23">
        <v>34.1</v>
      </c>
      <c r="E84" s="23">
        <v>40.2</v>
      </c>
      <c r="F84" s="23">
        <v>38.09816509584301</v>
      </c>
      <c r="G84" s="23">
        <v>36.870410123149924</v>
      </c>
      <c r="H84" s="23">
        <f>33708/$H$81*100</f>
        <v>37.8656481689508</v>
      </c>
      <c r="I84" s="23">
        <f>33503/I81*100</f>
        <v>37.8633425252023</v>
      </c>
      <c r="J84" s="55" t="s">
        <v>51</v>
      </c>
      <c r="K84" s="23">
        <v>35.3</v>
      </c>
      <c r="L84" s="36">
        <v>39.8</v>
      </c>
    </row>
    <row r="85" spans="1:12" s="3" customFormat="1" ht="18">
      <c r="A85" s="21" t="s">
        <v>7</v>
      </c>
      <c r="B85" s="24" t="s">
        <v>5</v>
      </c>
      <c r="C85" s="24" t="s">
        <v>5</v>
      </c>
      <c r="D85" s="23">
        <v>19.181763886123832</v>
      </c>
      <c r="E85" s="23">
        <v>18.4</v>
      </c>
      <c r="F85" s="23">
        <v>20.45940900605564</v>
      </c>
      <c r="G85" s="23">
        <v>20.43497909840696</v>
      </c>
      <c r="H85" s="23">
        <f>18447/$H$81*100</f>
        <v>20.72230959334981</v>
      </c>
      <c r="I85" s="23">
        <f>18892/I81*100</f>
        <v>21.35075267845034</v>
      </c>
      <c r="J85" s="55" t="s">
        <v>52</v>
      </c>
      <c r="K85" s="23">
        <v>20.5</v>
      </c>
      <c r="L85" s="36">
        <v>16.9</v>
      </c>
    </row>
    <row r="86" spans="1:12" s="3" customFormat="1" ht="18">
      <c r="A86" s="21" t="s">
        <v>8</v>
      </c>
      <c r="B86" s="23">
        <v>42.1</v>
      </c>
      <c r="C86" s="23">
        <v>42.1</v>
      </c>
      <c r="D86" s="23">
        <v>23.99338044993032</v>
      </c>
      <c r="E86" s="23">
        <v>19.4</v>
      </c>
      <c r="F86" s="23">
        <v>22.06665756044256</v>
      </c>
      <c r="G86" s="23">
        <v>22.05061574963281</v>
      </c>
      <c r="H86" s="23">
        <f>18822/$H$81*100</f>
        <v>21.143563244214782</v>
      </c>
      <c r="I86" s="23">
        <f>18215/I81*100</f>
        <v>20.58564260205235</v>
      </c>
      <c r="J86" s="55" t="s">
        <v>53</v>
      </c>
      <c r="K86" s="23">
        <v>26.8</v>
      </c>
      <c r="L86" s="36">
        <v>17.3</v>
      </c>
    </row>
    <row r="87" spans="1:12" s="3" customFormat="1" ht="16.5">
      <c r="A87" s="21" t="s">
        <v>9</v>
      </c>
      <c r="B87" s="23">
        <v>0.4956065152164595</v>
      </c>
      <c r="C87" s="23">
        <v>0.6</v>
      </c>
      <c r="D87" s="23">
        <v>0.5101532948437189</v>
      </c>
      <c r="E87" s="23">
        <v>0.36470834984036726</v>
      </c>
      <c r="F87" s="23">
        <v>0.3483130719847015</v>
      </c>
      <c r="G87" s="23">
        <v>0.32086769856513386</v>
      </c>
      <c r="H87" s="23">
        <f>335/$H$81*100</f>
        <v>0.3763199281060436</v>
      </c>
      <c r="I87" s="23" t="s">
        <v>10</v>
      </c>
      <c r="J87" s="23" t="s">
        <v>10</v>
      </c>
      <c r="K87" s="23" t="s">
        <v>10</v>
      </c>
      <c r="L87" s="36" t="s">
        <v>10</v>
      </c>
    </row>
    <row r="88" spans="1:12" s="3" customFormat="1" ht="18">
      <c r="A88" s="12" t="s">
        <v>34</v>
      </c>
      <c r="B88" s="19" t="s">
        <v>10</v>
      </c>
      <c r="C88" s="19" t="s">
        <v>10</v>
      </c>
      <c r="D88" s="19" t="s">
        <v>10</v>
      </c>
      <c r="E88" s="19" t="s">
        <v>10</v>
      </c>
      <c r="F88" s="19" t="s">
        <v>10</v>
      </c>
      <c r="G88" s="19" t="s">
        <v>10</v>
      </c>
      <c r="H88" s="19" t="s">
        <v>10</v>
      </c>
      <c r="I88" s="19">
        <v>374</v>
      </c>
      <c r="J88" s="56" t="s">
        <v>54</v>
      </c>
      <c r="K88" s="19" t="s">
        <v>23</v>
      </c>
      <c r="L88" s="15" t="s">
        <v>23</v>
      </c>
    </row>
    <row r="89" spans="1:12" s="3" customFormat="1" ht="6" customHeight="1">
      <c r="A89" s="12"/>
      <c r="B89" s="16"/>
      <c r="C89" s="16"/>
      <c r="D89" s="16"/>
      <c r="E89" s="16"/>
      <c r="F89" s="16"/>
      <c r="G89" s="16"/>
      <c r="H89" s="16"/>
      <c r="I89" s="16"/>
      <c r="J89" s="17"/>
      <c r="K89" s="17"/>
      <c r="L89" s="18"/>
    </row>
    <row r="90" spans="1:12" s="3" customFormat="1" ht="16.5">
      <c r="A90" s="12" t="s">
        <v>19</v>
      </c>
      <c r="B90" s="16"/>
      <c r="C90" s="16"/>
      <c r="D90" s="16"/>
      <c r="E90" s="16"/>
      <c r="F90" s="16"/>
      <c r="G90" s="16"/>
      <c r="H90" s="16"/>
      <c r="I90" s="16"/>
      <c r="J90" s="17"/>
      <c r="K90" s="17"/>
      <c r="L90" s="18"/>
    </row>
    <row r="91" spans="1:12" s="4" customFormat="1" ht="18">
      <c r="A91" s="12" t="s">
        <v>2</v>
      </c>
      <c r="B91" s="19">
        <v>78248</v>
      </c>
      <c r="C91" s="19">
        <v>77097</v>
      </c>
      <c r="D91" s="19">
        <v>82657</v>
      </c>
      <c r="E91" s="19">
        <v>84856</v>
      </c>
      <c r="F91" s="19">
        <v>86098</v>
      </c>
      <c r="G91" s="19">
        <v>87331</v>
      </c>
      <c r="H91" s="19">
        <v>87790</v>
      </c>
      <c r="I91" s="19">
        <v>86666</v>
      </c>
      <c r="J91" s="57" t="s">
        <v>55</v>
      </c>
      <c r="K91" s="20">
        <v>52002</v>
      </c>
      <c r="L91" s="35">
        <v>86026</v>
      </c>
    </row>
    <row r="92" spans="1:12" s="3" customFormat="1" ht="18">
      <c r="A92" s="21" t="s">
        <v>3</v>
      </c>
      <c r="B92" s="23">
        <v>16.5</v>
      </c>
      <c r="C92" s="23">
        <v>11.235197219087643</v>
      </c>
      <c r="D92" s="23">
        <v>10.468562856140435</v>
      </c>
      <c r="E92" s="23">
        <v>10.6</v>
      </c>
      <c r="F92" s="23">
        <v>9.774907663360356</v>
      </c>
      <c r="G92" s="23">
        <v>9.6907169275515</v>
      </c>
      <c r="H92" s="23">
        <f>8509/$H$91*100</f>
        <v>9.692447887003075</v>
      </c>
      <c r="I92" s="23">
        <f>9165/I91*100</f>
        <v>10.57508134677959</v>
      </c>
      <c r="J92" s="55" t="s">
        <v>56</v>
      </c>
      <c r="K92" s="23">
        <v>9</v>
      </c>
      <c r="L92" s="18">
        <v>14.7</v>
      </c>
    </row>
    <row r="93" spans="1:12" s="3" customFormat="1" ht="18">
      <c r="A93" s="21" t="s">
        <v>4</v>
      </c>
      <c r="B93" s="24" t="s">
        <v>5</v>
      </c>
      <c r="C93" s="24" t="s">
        <v>5</v>
      </c>
      <c r="D93" s="23">
        <v>16.8576164148227</v>
      </c>
      <c r="E93" s="23">
        <v>16.794724636323174</v>
      </c>
      <c r="F93" s="23">
        <v>16.212920160747053</v>
      </c>
      <c r="G93" s="23">
        <v>16.772967216681362</v>
      </c>
      <c r="H93" s="23">
        <f>14548/$H$91*100</f>
        <v>16.571363481034286</v>
      </c>
      <c r="I93" s="23">
        <f>13903/I91*100</f>
        <v>16.042046477280593</v>
      </c>
      <c r="J93" s="55" t="s">
        <v>57</v>
      </c>
      <c r="K93" s="23">
        <v>13</v>
      </c>
      <c r="L93" s="18">
        <v>17.4</v>
      </c>
    </row>
    <row r="94" spans="1:12" s="3" customFormat="1" ht="18">
      <c r="A94" s="21" t="s">
        <v>6</v>
      </c>
      <c r="B94" s="23">
        <v>50.4</v>
      </c>
      <c r="C94" s="23">
        <v>53.5</v>
      </c>
      <c r="D94" s="23">
        <v>35.2</v>
      </c>
      <c r="E94" s="23">
        <v>40</v>
      </c>
      <c r="F94" s="23">
        <v>40.02415851703872</v>
      </c>
      <c r="G94" s="23">
        <v>38.97356036229976</v>
      </c>
      <c r="H94" s="23">
        <f>34447/$H$91*100</f>
        <v>39.237954208907624</v>
      </c>
      <c r="I94" s="23">
        <f>33804/I91*100</f>
        <v>39.00491542242633</v>
      </c>
      <c r="J94" s="55" t="s">
        <v>58</v>
      </c>
      <c r="K94" s="23">
        <v>37.4</v>
      </c>
      <c r="L94" s="18">
        <v>35.7</v>
      </c>
    </row>
    <row r="95" spans="1:12" s="3" customFormat="1" ht="18">
      <c r="A95" s="21" t="s">
        <v>7</v>
      </c>
      <c r="B95" s="24" t="s">
        <v>5</v>
      </c>
      <c r="C95" s="24" t="s">
        <v>5</v>
      </c>
      <c r="D95" s="23">
        <v>17.3</v>
      </c>
      <c r="E95" s="23">
        <v>16.1</v>
      </c>
      <c r="F95" s="23">
        <v>17.03640038096123</v>
      </c>
      <c r="G95" s="23">
        <v>17.173741283164055</v>
      </c>
      <c r="H95" s="23">
        <f>15980/$H$91*100</f>
        <v>18.202528761817973</v>
      </c>
      <c r="I95" s="23">
        <f>15975/I91*100</f>
        <v>18.432834098723834</v>
      </c>
      <c r="J95" s="55" t="s">
        <v>59</v>
      </c>
      <c r="K95" s="23">
        <v>17.2</v>
      </c>
      <c r="L95" s="18">
        <v>14.2</v>
      </c>
    </row>
    <row r="96" spans="1:12" s="3" customFormat="1" ht="18">
      <c r="A96" s="21" t="s">
        <v>8</v>
      </c>
      <c r="B96" s="23">
        <v>31.7</v>
      </c>
      <c r="C96" s="23">
        <v>34.2</v>
      </c>
      <c r="D96" s="23">
        <v>19.05101806259603</v>
      </c>
      <c r="E96" s="23">
        <v>15.5</v>
      </c>
      <c r="F96" s="23">
        <v>16.030569815791306</v>
      </c>
      <c r="G96" s="23">
        <v>16.571435114678636</v>
      </c>
      <c r="H96" s="23">
        <f>13552/$H$91*100</f>
        <v>15.436837908645632</v>
      </c>
      <c r="I96" s="23">
        <f>13819/I91*100</f>
        <v>15.945122654789653</v>
      </c>
      <c r="J96" s="55" t="s">
        <v>60</v>
      </c>
      <c r="K96" s="23">
        <v>23.4</v>
      </c>
      <c r="L96" s="18">
        <v>18</v>
      </c>
    </row>
    <row r="97" spans="1:12" s="3" customFormat="1" ht="16.5">
      <c r="A97" s="21" t="s">
        <v>9</v>
      </c>
      <c r="B97" s="23">
        <v>1.3</v>
      </c>
      <c r="C97" s="23">
        <v>1.0973189618273085</v>
      </c>
      <c r="D97" s="23">
        <v>1.1166628355735146</v>
      </c>
      <c r="E97" s="23">
        <v>0.9721473915997095</v>
      </c>
      <c r="F97" s="23">
        <v>0.9210434621013264</v>
      </c>
      <c r="G97" s="23">
        <v>0.8175790956246922</v>
      </c>
      <c r="H97" s="23">
        <f>754/$H$91*100</f>
        <v>0.8588677525914113</v>
      </c>
      <c r="I97" s="23" t="s">
        <v>10</v>
      </c>
      <c r="J97" s="23" t="s">
        <v>10</v>
      </c>
      <c r="K97" s="23" t="s">
        <v>10</v>
      </c>
      <c r="L97" s="18" t="s">
        <v>10</v>
      </c>
    </row>
    <row r="98" spans="1:12" s="3" customFormat="1" ht="18.75" thickBot="1">
      <c r="A98" s="30" t="s">
        <v>34</v>
      </c>
      <c r="B98" s="31" t="s">
        <v>10</v>
      </c>
      <c r="C98" s="31" t="s">
        <v>10</v>
      </c>
      <c r="D98" s="31" t="s">
        <v>10</v>
      </c>
      <c r="E98" s="31" t="s">
        <v>10</v>
      </c>
      <c r="F98" s="31" t="s">
        <v>10</v>
      </c>
      <c r="G98" s="31" t="s">
        <v>10</v>
      </c>
      <c r="H98" s="31" t="s">
        <v>10</v>
      </c>
      <c r="I98" s="31">
        <v>663</v>
      </c>
      <c r="J98" s="60" t="s">
        <v>61</v>
      </c>
      <c r="K98" s="31" t="s">
        <v>23</v>
      </c>
      <c r="L98" s="39" t="s">
        <v>23</v>
      </c>
    </row>
    <row r="99" spans="1:12" s="3" customFormat="1" ht="30" customHeight="1">
      <c r="A99" s="75" t="s">
        <v>77</v>
      </c>
      <c r="B99" s="76"/>
      <c r="C99" s="76"/>
      <c r="D99" s="76"/>
      <c r="E99" s="76"/>
      <c r="F99" s="76"/>
      <c r="G99" s="46"/>
      <c r="H99" s="46"/>
      <c r="I99" s="46"/>
      <c r="J99" s="44"/>
      <c r="K99" s="19"/>
      <c r="L99" s="43"/>
    </row>
    <row r="100" spans="1:12" s="3" customFormat="1" ht="16.5">
      <c r="A100" s="77"/>
      <c r="B100" s="71"/>
      <c r="C100" s="71"/>
      <c r="D100" s="71"/>
      <c r="E100" s="71"/>
      <c r="F100" s="71"/>
      <c r="G100" s="45"/>
      <c r="H100" s="45"/>
      <c r="I100" s="45"/>
      <c r="J100" s="44"/>
      <c r="K100" s="19"/>
      <c r="L100" s="43"/>
    </row>
    <row r="101" spans="1:10" ht="13.5">
      <c r="A101" s="69" t="s">
        <v>62</v>
      </c>
      <c r="B101" s="69"/>
      <c r="C101" s="69"/>
      <c r="D101" s="69"/>
      <c r="E101" s="69"/>
      <c r="F101" s="69"/>
      <c r="G101" s="52"/>
      <c r="H101" s="52"/>
      <c r="I101" s="52"/>
      <c r="J101" s="54"/>
    </row>
    <row r="102" spans="1:10" ht="52.5" customHeight="1">
      <c r="A102" s="74" t="s">
        <v>63</v>
      </c>
      <c r="B102" s="74"/>
      <c r="C102" s="74"/>
      <c r="D102" s="74"/>
      <c r="E102" s="74"/>
      <c r="F102" s="74"/>
      <c r="G102" s="52"/>
      <c r="H102" s="52"/>
      <c r="I102" s="52"/>
      <c r="J102" s="52"/>
    </row>
    <row r="103" spans="1:10" ht="12.75">
      <c r="A103" s="70"/>
      <c r="B103" s="71"/>
      <c r="C103" s="71"/>
      <c r="D103" s="71"/>
      <c r="E103" s="71"/>
      <c r="F103" s="71"/>
      <c r="G103" s="48"/>
      <c r="H103" s="48"/>
      <c r="I103" s="48"/>
      <c r="J103" s="48"/>
    </row>
    <row r="104" spans="1:12" ht="108" customHeight="1">
      <c r="A104" s="80" t="s">
        <v>75</v>
      </c>
      <c r="B104" s="80"/>
      <c r="C104" s="80"/>
      <c r="D104" s="80"/>
      <c r="E104" s="80"/>
      <c r="F104" s="80"/>
      <c r="G104" s="48"/>
      <c r="H104" s="47"/>
      <c r="I104" s="49"/>
      <c r="J104" s="50"/>
      <c r="K104" s="9"/>
      <c r="L104" s="8"/>
    </row>
    <row r="105" spans="1:12" ht="12.75">
      <c r="A105" s="70" t="s">
        <v>21</v>
      </c>
      <c r="B105" s="70"/>
      <c r="C105" s="70"/>
      <c r="D105" s="70"/>
      <c r="E105" s="70"/>
      <c r="F105" s="70"/>
      <c r="G105" s="46"/>
      <c r="H105" s="46"/>
      <c r="I105" s="46"/>
      <c r="J105" s="50"/>
      <c r="K105" s="9"/>
      <c r="L105" s="8"/>
    </row>
    <row r="106" spans="1:12" ht="12.75">
      <c r="A106" s="70" t="s">
        <v>20</v>
      </c>
      <c r="B106" s="70"/>
      <c r="C106" s="70"/>
      <c r="D106" s="70"/>
      <c r="E106" s="70"/>
      <c r="F106" s="70"/>
      <c r="G106" s="46"/>
      <c r="H106" s="46"/>
      <c r="I106" s="46"/>
      <c r="J106" s="50"/>
      <c r="K106" s="9"/>
      <c r="L106" s="8"/>
    </row>
    <row r="107" spans="1:12" ht="18" customHeight="1">
      <c r="A107" s="70"/>
      <c r="B107" s="71"/>
      <c r="C107" s="71"/>
      <c r="D107" s="71"/>
      <c r="E107" s="71"/>
      <c r="F107" s="71"/>
      <c r="G107" s="46"/>
      <c r="H107" s="46"/>
      <c r="I107" s="46"/>
      <c r="J107" s="50"/>
      <c r="K107" s="9"/>
      <c r="L107" s="8"/>
    </row>
    <row r="108" spans="1:12" ht="28.5" customHeight="1">
      <c r="A108" s="79" t="s">
        <v>0</v>
      </c>
      <c r="B108" s="79"/>
      <c r="C108" s="79"/>
      <c r="D108" s="79"/>
      <c r="E108" s="79"/>
      <c r="F108" s="79"/>
      <c r="G108" s="51"/>
      <c r="H108" s="51"/>
      <c r="I108" s="51"/>
      <c r="J108" s="50"/>
      <c r="K108" s="9"/>
      <c r="L108" s="8"/>
    </row>
    <row r="109" spans="1:12" ht="36" customHeight="1">
      <c r="A109" s="78" t="s">
        <v>76</v>
      </c>
      <c r="B109" s="78"/>
      <c r="C109" s="78"/>
      <c r="D109" s="78"/>
      <c r="E109" s="78"/>
      <c r="F109" s="78"/>
      <c r="G109" s="51"/>
      <c r="H109" s="51"/>
      <c r="I109" s="51"/>
      <c r="J109" s="50"/>
      <c r="K109" s="9"/>
      <c r="L109" s="8"/>
    </row>
    <row r="110" spans="1:11" ht="12.75">
      <c r="A110" s="46" t="s">
        <v>78</v>
      </c>
      <c r="B110" s="46"/>
      <c r="C110" s="46"/>
      <c r="D110" s="46"/>
      <c r="E110" s="46"/>
      <c r="F110" s="46"/>
      <c r="G110" s="46"/>
      <c r="H110" s="46"/>
      <c r="I110" s="50"/>
      <c r="J110" s="9"/>
      <c r="K110" s="8"/>
    </row>
    <row r="111" spans="2:12" ht="12.75">
      <c r="B111" s="53"/>
      <c r="C111" s="53"/>
      <c r="D111" s="53"/>
      <c r="E111" s="53"/>
      <c r="F111" s="53"/>
      <c r="G111" s="46"/>
      <c r="H111" s="46"/>
      <c r="I111" s="46"/>
      <c r="J111" s="50"/>
      <c r="K111" s="9"/>
      <c r="L111" s="8"/>
    </row>
    <row r="112" spans="1:10" s="10" customFormat="1" ht="12.75">
      <c r="A112" s="2"/>
      <c r="B112" s="47"/>
      <c r="C112" s="47"/>
      <c r="D112" s="47"/>
      <c r="E112" s="47"/>
      <c r="F112" s="47"/>
      <c r="G112" s="53"/>
      <c r="H112" s="53"/>
      <c r="I112" s="53"/>
      <c r="J112" s="54"/>
    </row>
    <row r="113" spans="1:10" s="10" customFormat="1" ht="12.75">
      <c r="A113" s="2"/>
      <c r="B113" s="53"/>
      <c r="C113" s="53"/>
      <c r="D113" s="53"/>
      <c r="E113" s="53"/>
      <c r="F113" s="53"/>
      <c r="G113" s="47"/>
      <c r="H113" s="47"/>
      <c r="I113" s="47"/>
      <c r="J113" s="47"/>
    </row>
    <row r="114" spans="2:10" ht="12.75">
      <c r="B114" s="47"/>
      <c r="C114" s="47"/>
      <c r="D114" s="47"/>
      <c r="E114" s="47"/>
      <c r="F114" s="47"/>
      <c r="G114" s="53"/>
      <c r="H114" s="53"/>
      <c r="I114" s="53"/>
      <c r="J114" s="53"/>
    </row>
    <row r="115" spans="7:10" ht="12.75">
      <c r="G115" s="47"/>
      <c r="H115" s="47"/>
      <c r="I115" s="47"/>
      <c r="J115" s="47"/>
    </row>
  </sheetData>
  <mergeCells count="12">
    <mergeCell ref="A109:F109"/>
    <mergeCell ref="A107:F107"/>
    <mergeCell ref="A108:F108"/>
    <mergeCell ref="A104:F104"/>
    <mergeCell ref="A105:F105"/>
    <mergeCell ref="A106:F106"/>
    <mergeCell ref="A101:F101"/>
    <mergeCell ref="A103:F103"/>
    <mergeCell ref="A1:L1"/>
    <mergeCell ref="A102:F102"/>
    <mergeCell ref="A99:F99"/>
    <mergeCell ref="A100:F100"/>
  </mergeCells>
  <printOptions/>
  <pageMargins left="0.75" right="0.75" top="1" bottom="0.75" header="0.5" footer="0.5"/>
  <pageSetup fitToHeight="3" horizontalDpi="300" verticalDpi="300" orientation="portrait" scale="70" r:id="rId1"/>
  <rowBreaks count="2" manualBreakCount="2">
    <brk id="44" max="255" man="1"/>
    <brk id="1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2002-06-20T17:39:16Z</cp:lastPrinted>
  <dcterms:created xsi:type="dcterms:W3CDTF">1999-04-27T13:03:34Z</dcterms:created>
  <dcterms:modified xsi:type="dcterms:W3CDTF">2002-07-25T12:58:07Z</dcterms:modified>
  <cp:category/>
  <cp:version/>
  <cp:contentType/>
  <cp:contentStatus/>
</cp:coreProperties>
</file>