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Restaurant" sheetId="1" r:id="rId1"/>
    <sheet name="Generic Energy Calcs R" sheetId="2" r:id="rId2"/>
    <sheet name="Recommendations" sheetId="3" r:id="rId3"/>
  </sheets>
  <definedNames/>
  <calcPr fullCalcOnLoad="1"/>
</workbook>
</file>

<file path=xl/comments1.xml><?xml version="1.0" encoding="utf-8"?>
<comments xmlns="http://schemas.openxmlformats.org/spreadsheetml/2006/main">
  <authors>
    <author>David Cowen</author>
    <author>ICF</author>
  </authors>
  <commentList>
    <comment ref="B13" authorId="0">
      <text>
        <r>
          <rPr>
            <b/>
            <sz val="8"/>
            <rFont val="Tahoma"/>
            <family val="0"/>
          </rPr>
          <t xml:space="preserve">Assumptions:
Food Cooked:  100lbs/day
Avg. Hours of Operation:  12
</t>
        </r>
        <r>
          <rPr>
            <sz val="8"/>
            <rFont val="Tahoma"/>
            <family val="0"/>
          </rPr>
          <t xml:space="preserve">
</t>
        </r>
      </text>
    </comment>
    <comment ref="B15" authorId="0">
      <text>
        <r>
          <rPr>
            <b/>
            <sz val="8"/>
            <rFont val="Tahoma"/>
            <family val="0"/>
          </rPr>
          <t>Assumptions:
Food Cooked:  100lbs/day
Average Hours of Operation:  12</t>
        </r>
      </text>
    </comment>
    <comment ref="B23" authorId="0">
      <text>
        <r>
          <rPr>
            <b/>
            <sz val="8"/>
            <rFont val="Tahoma"/>
            <family val="0"/>
          </rPr>
          <t>Assumptions:
Energy Numbers represent only the Fan Motors.</t>
        </r>
      </text>
    </comment>
    <comment ref="B18" authorId="0">
      <text>
        <r>
          <rPr>
            <b/>
            <sz val="8"/>
            <rFont val="Tahoma"/>
            <family val="0"/>
          </rPr>
          <t>Assumptions:
Food Cooked:  100lbs/day
Steamer costs include; energy, water and sewer.
See Calcs Page for breakdown</t>
        </r>
      </text>
    </comment>
    <comment ref="B19" authorId="0">
      <text>
        <r>
          <rPr>
            <b/>
            <sz val="8"/>
            <rFont val="Tahoma"/>
            <family val="0"/>
          </rPr>
          <t>Assumptions:
Base Model:  Uninsulated
Energy Star Model:  Insulated
Average Hours of Operation:  15</t>
        </r>
      </text>
    </comment>
    <comment ref="B24" authorId="0">
      <text>
        <r>
          <rPr>
            <b/>
            <sz val="8"/>
            <rFont val="Tahoma"/>
            <family val="0"/>
          </rPr>
          <t>Assumptions:
Ice Harvest Rate of 500lbs</t>
        </r>
      </text>
    </comment>
    <comment ref="B26" authorId="0">
      <text>
        <r>
          <rPr>
            <b/>
            <sz val="8"/>
            <rFont val="Tahoma"/>
            <family val="0"/>
          </rPr>
          <t xml:space="preserve">Assumptions:
Ware washer costs include; energy (booster heater, tank heater, water heater), water and sewer.
</t>
        </r>
        <r>
          <rPr>
            <sz val="8"/>
            <rFont val="Tahoma"/>
            <family val="0"/>
          </rPr>
          <t xml:space="preserve">
</t>
        </r>
        <r>
          <rPr>
            <b/>
            <sz val="8"/>
            <rFont val="Tahoma"/>
            <family val="2"/>
          </rPr>
          <t>See Calcs Page for breakdown</t>
        </r>
      </text>
    </comment>
    <comment ref="B16" authorId="0">
      <text>
        <r>
          <rPr>
            <b/>
            <sz val="8"/>
            <rFont val="Tahoma"/>
            <family val="0"/>
          </rPr>
          <t>Assumptions:
Food Cooked:  100lbs/day
Average Hours of Operation:  12</t>
        </r>
      </text>
    </comment>
    <comment ref="B17" authorId="0">
      <text>
        <r>
          <rPr>
            <b/>
            <sz val="8"/>
            <rFont val="Tahoma"/>
            <family val="0"/>
          </rPr>
          <t>Assumptions:
Food Cooked:  200lbs/day
Average Hours of Operation:  12</t>
        </r>
      </text>
    </comment>
    <comment ref="B31" authorId="0">
      <text>
        <r>
          <rPr>
            <b/>
            <sz val="8"/>
            <rFont val="Tahoma"/>
            <family val="0"/>
          </rPr>
          <t>Assumptions:
Water use: 2000 gal/day
Water Heater costs include; energy, water and sewer.
See Calcs Page for breakdown</t>
        </r>
      </text>
    </comment>
    <comment ref="B14" authorId="0">
      <text>
        <r>
          <rPr>
            <b/>
            <sz val="8"/>
            <rFont val="Tahoma"/>
            <family val="0"/>
          </rPr>
          <t>Assumptions:
Avg. Hours of Operation:  12</t>
        </r>
        <r>
          <rPr>
            <sz val="8"/>
            <rFont val="Tahoma"/>
            <family val="0"/>
          </rPr>
          <t xml:space="preserve">
</t>
        </r>
      </text>
    </comment>
    <comment ref="B32" authorId="0">
      <text>
        <r>
          <rPr>
            <b/>
            <sz val="8"/>
            <rFont val="Tahoma"/>
            <family val="0"/>
          </rPr>
          <t>Assumption:
Conveyor Toast vs. Pop-up
Avg. Hours of Operation:  8</t>
        </r>
      </text>
    </comment>
    <comment ref="P12" authorId="0">
      <text>
        <r>
          <rPr>
            <b/>
            <sz val="8"/>
            <rFont val="Tahoma"/>
            <family val="0"/>
          </rPr>
          <t>Therms base on one single appliance.</t>
        </r>
        <r>
          <rPr>
            <sz val="8"/>
            <rFont val="Tahoma"/>
            <family val="0"/>
          </rPr>
          <t xml:space="preserve">
</t>
        </r>
      </text>
    </comment>
    <comment ref="Q12" authorId="0">
      <text>
        <r>
          <rPr>
            <b/>
            <sz val="8"/>
            <rFont val="Tahoma"/>
            <family val="0"/>
          </rPr>
          <t>kWh based on one single appliance</t>
        </r>
        <r>
          <rPr>
            <sz val="8"/>
            <rFont val="Tahoma"/>
            <family val="0"/>
          </rPr>
          <t xml:space="preserve">
</t>
        </r>
      </text>
    </comment>
    <comment ref="T12" authorId="0">
      <text>
        <r>
          <rPr>
            <b/>
            <sz val="8"/>
            <rFont val="Tahoma"/>
            <family val="2"/>
          </rPr>
          <t>Cost of Water and Sewer</t>
        </r>
        <r>
          <rPr>
            <sz val="8"/>
            <rFont val="Tahoma"/>
            <family val="0"/>
          </rPr>
          <t xml:space="preserve">
</t>
        </r>
      </text>
    </comment>
    <comment ref="U12" authorId="0">
      <text>
        <r>
          <rPr>
            <b/>
            <sz val="8"/>
            <rFont val="Tahoma"/>
            <family val="0"/>
          </rPr>
          <t>Savings based on the number of appliances specified by user.
Includes: Energy and Water costs</t>
        </r>
      </text>
    </comment>
    <comment ref="B33" authorId="0">
      <text>
        <r>
          <rPr>
            <b/>
            <sz val="8"/>
            <rFont val="Tahoma"/>
            <family val="2"/>
          </rPr>
          <t>Replacement of T12 fixtures with T8</t>
        </r>
        <r>
          <rPr>
            <sz val="8"/>
            <rFont val="Tahoma"/>
            <family val="0"/>
          </rPr>
          <t xml:space="preserve">
</t>
        </r>
      </text>
    </comment>
    <comment ref="B34" authorId="0">
      <text>
        <r>
          <rPr>
            <b/>
            <sz val="8"/>
            <rFont val="Tahoma"/>
            <family val="0"/>
          </rPr>
          <t xml:space="preserve">Replacement of Incandescent with CFL
</t>
        </r>
        <r>
          <rPr>
            <sz val="8"/>
            <rFont val="Tahoma"/>
            <family val="0"/>
          </rPr>
          <t xml:space="preserve">
</t>
        </r>
      </text>
    </comment>
    <comment ref="S12" authorId="0">
      <text>
        <r>
          <rPr>
            <b/>
            <sz val="8"/>
            <rFont val="Tahoma"/>
            <family val="0"/>
          </rPr>
          <t xml:space="preserve">Combines Water and Sewer </t>
        </r>
      </text>
    </comment>
    <comment ref="R12" authorId="0">
      <text>
        <r>
          <rPr>
            <b/>
            <sz val="8"/>
            <rFont val="Tahoma"/>
            <family val="2"/>
          </rPr>
          <t>Percentage savings based on an individual appliance</t>
        </r>
        <r>
          <rPr>
            <sz val="8"/>
            <rFont val="Tahoma"/>
            <family val="0"/>
          </rPr>
          <t xml:space="preserve">
</t>
        </r>
      </text>
    </comment>
    <comment ref="B35" authorId="0">
      <text>
        <r>
          <rPr>
            <b/>
            <sz val="8"/>
            <rFont val="Tahoma"/>
            <family val="0"/>
          </rPr>
          <t>7500 CFM design exhaust rate reduced to an avg. of 5000 CFM
Reference:  
Predicting Energy Consumption [of Kitchen Ventilation Systems]
Author: Donald Fisher, P.E.
Published: ASHRAE Journal, June 2003
Copyright 2003, American Society of Heating, Refrigeration and Air-Conditioning Engineers, Inc.
This posting is by permission from ASHRAE Journal. This article may not be copied nor distributed in either paper or digital form without ASHRAE's permission. Contact ASHRAE at www.ashrae.org.
Download at:  www.fishnick.com/publications/industry/</t>
        </r>
        <r>
          <rPr>
            <sz val="8"/>
            <rFont val="Tahoma"/>
            <family val="0"/>
          </rPr>
          <t xml:space="preserve">
</t>
        </r>
      </text>
    </comment>
    <comment ref="V10" authorId="0">
      <text>
        <r>
          <rPr>
            <b/>
            <sz val="8"/>
            <rFont val="Tahoma"/>
            <family val="0"/>
          </rPr>
          <t>Represents the cost difference for one appliance</t>
        </r>
      </text>
    </comment>
    <comment ref="Y10" authorId="0">
      <text>
        <r>
          <rPr>
            <b/>
            <sz val="8"/>
            <rFont val="Tahoma"/>
            <family val="0"/>
          </rPr>
          <t>Represents the ROI for the total number of appliances.</t>
        </r>
      </text>
    </comment>
    <comment ref="G17" authorId="1">
      <text>
        <r>
          <rPr>
            <b/>
            <sz val="8"/>
            <rFont val="Tahoma"/>
            <family val="0"/>
          </rPr>
          <t>ICF:</t>
        </r>
        <r>
          <rPr>
            <sz val="8"/>
            <rFont val="Tahoma"/>
            <family val="0"/>
          </rPr>
          <t xml:space="preserve">
Elect &amp; Gas costs are pulling in water costs on equip that uses water</t>
        </r>
      </text>
    </comment>
    <comment ref="X10" authorId="0">
      <text>
        <r>
          <rPr>
            <b/>
            <sz val="8"/>
            <rFont val="Tahoma"/>
            <family val="0"/>
          </rPr>
          <t>Simple payback includes water savings</t>
        </r>
      </text>
    </comment>
  </commentList>
</comments>
</file>

<file path=xl/comments2.xml><?xml version="1.0" encoding="utf-8"?>
<comments xmlns="http://schemas.openxmlformats.org/spreadsheetml/2006/main">
  <authors>
    <author>David Cowen</author>
  </authors>
  <commentList>
    <comment ref="A28" authorId="0">
      <text>
        <r>
          <rPr>
            <b/>
            <sz val="8"/>
            <rFont val="Tahoma"/>
            <family val="0"/>
          </rPr>
          <t xml:space="preserve">Assumptions:
Food Cooked:  100lbs/day
</t>
        </r>
        <r>
          <rPr>
            <sz val="8"/>
            <rFont val="Tahoma"/>
            <family val="0"/>
          </rPr>
          <t xml:space="preserve">
</t>
        </r>
      </text>
    </comment>
    <comment ref="A40" authorId="0">
      <text>
        <r>
          <rPr>
            <b/>
            <sz val="8"/>
            <rFont val="Tahoma"/>
            <family val="0"/>
          </rPr>
          <t xml:space="preserve">Assumptions:
Food Cooked:  100lbs/day
</t>
        </r>
        <r>
          <rPr>
            <sz val="8"/>
            <rFont val="Tahoma"/>
            <family val="0"/>
          </rPr>
          <t xml:space="preserve">
</t>
        </r>
      </text>
    </comment>
    <comment ref="A46" authorId="0">
      <text>
        <r>
          <rPr>
            <b/>
            <sz val="8"/>
            <rFont val="Tahoma"/>
            <family val="0"/>
          </rPr>
          <t>Assumptions:
Food Cooked:  100lbs/day</t>
        </r>
      </text>
    </comment>
    <comment ref="A114" authorId="0">
      <text>
        <r>
          <rPr>
            <b/>
            <sz val="8"/>
            <rFont val="Tahoma"/>
            <family val="0"/>
          </rPr>
          <t>Assumptions:
Food Cooked:  200lbs/day</t>
        </r>
      </text>
    </comment>
    <comment ref="A108" authorId="0">
      <text>
        <r>
          <rPr>
            <b/>
            <sz val="8"/>
            <rFont val="Tahoma"/>
            <family val="0"/>
          </rPr>
          <t>Assumptions:
Base Model:  Uninsulated
Energy Star Model:  Insulated</t>
        </r>
      </text>
    </comment>
    <comment ref="A95" authorId="0">
      <text>
        <r>
          <rPr>
            <b/>
            <sz val="8"/>
            <rFont val="Tahoma"/>
            <family val="0"/>
          </rPr>
          <t>Assumptions:
Energy Numbers represent only the Fan Motors.</t>
        </r>
      </text>
    </comment>
    <comment ref="A22" authorId="0">
      <text>
        <r>
          <rPr>
            <b/>
            <sz val="8"/>
            <rFont val="Tahoma"/>
            <family val="0"/>
          </rPr>
          <t>Assumptions:
Food Cooked:  100'bs/day
Steamer costs include; energy, water and sewer.</t>
        </r>
      </text>
    </comment>
    <comment ref="A3" authorId="0">
      <text>
        <r>
          <rPr>
            <b/>
            <sz val="8"/>
            <rFont val="Tahoma"/>
            <family val="0"/>
          </rPr>
          <t>Assumptions:
Ice Harvest Rate of 500lbs</t>
        </r>
      </text>
    </comment>
    <comment ref="A15" authorId="0">
      <text>
        <r>
          <rPr>
            <b/>
            <sz val="8"/>
            <rFont val="Tahoma"/>
            <family val="2"/>
          </rPr>
          <t>Assumptions:
Ware washer costs include; energy, water and sewer.</t>
        </r>
      </text>
    </comment>
    <comment ref="A120" authorId="0">
      <text>
        <r>
          <rPr>
            <b/>
            <sz val="8"/>
            <rFont val="Tahoma"/>
            <family val="0"/>
          </rPr>
          <t>Assumptions:
Water Heater costs include; energy, water and sewer.</t>
        </r>
      </text>
    </comment>
    <comment ref="A9" authorId="0">
      <text>
        <r>
          <rPr>
            <b/>
            <sz val="8"/>
            <rFont val="Tahoma"/>
            <family val="0"/>
          </rPr>
          <t>Assumptions:
Average Usage per day - 4 hours</t>
        </r>
      </text>
    </comment>
    <comment ref="A137" authorId="0">
      <text>
        <r>
          <rPr>
            <b/>
            <sz val="8"/>
            <rFont val="Tahoma"/>
            <family val="0"/>
          </rPr>
          <t>7500 CFM design exhaust rate reduced to an avg. of 5000 CFM
Reference:  
Predicting Energy Consumption [of Kitchen Ventilation Systems]
Author: Donald Fisher, P.E.
Published: ASHRAE Journal, June 2003
Copyright 2003, American Society of Heating, Refrigeration and Air-Conditioning Engineers, Inc.
This posting is by permission from ASHRAE Journal. This article may not be copied nor distributed in either paper or digital form without ASHRAE's permission. Contact ASHRAE at www.ashrae.org.
Download at:  www.fishnick.com/publications/industry/</t>
        </r>
        <r>
          <rPr>
            <sz val="8"/>
            <rFont val="Tahoma"/>
            <family val="0"/>
          </rPr>
          <t xml:space="preserve">
</t>
        </r>
      </text>
    </comment>
  </commentList>
</comments>
</file>

<file path=xl/comments3.xml><?xml version="1.0" encoding="utf-8"?>
<comments xmlns="http://schemas.openxmlformats.org/spreadsheetml/2006/main">
  <authors>
    <author>David Cowen</author>
  </authors>
  <commentList>
    <comment ref="B39" authorId="0">
      <text>
        <r>
          <rPr>
            <b/>
            <sz val="8"/>
            <rFont val="Tahoma"/>
            <family val="0"/>
          </rPr>
          <t>Reference:  
Predicting Energy Consumption [of Kitchen Ventilation Systems]
Author: Donald Fisher, P.E.
Published: ASHRAE Journal, June 2003
Copyright 2003, American Society of Heating, Refrigeration and Air-Conditioning Engineers, Inc.
This posting is by permission from ASHRAE Journal. This article may not be copied nor distributed in either paper or digital form without ASHRAE's permission. Contact ASHRAE at www.ashrae.org.
Download at:  www.fishnick.com/publications/industry/</t>
        </r>
        <r>
          <rPr>
            <sz val="8"/>
            <rFont val="Tahoma"/>
            <family val="0"/>
          </rPr>
          <t xml:space="preserve">
</t>
        </r>
      </text>
    </comment>
  </commentList>
</comments>
</file>

<file path=xl/sharedStrings.xml><?xml version="1.0" encoding="utf-8"?>
<sst xmlns="http://schemas.openxmlformats.org/spreadsheetml/2006/main" count="504" uniqueCount="187">
  <si>
    <t>Commercial Food Service - Energy and Water Performance Upgrades</t>
  </si>
  <si>
    <t>Segment:</t>
  </si>
  <si>
    <t>Energy Performance Upgrades</t>
  </si>
  <si>
    <t>Technology</t>
  </si>
  <si>
    <t>High Efficiency</t>
  </si>
  <si>
    <t>kWh</t>
  </si>
  <si>
    <t>$ Costs</t>
  </si>
  <si>
    <t>Savings</t>
  </si>
  <si>
    <t>Total</t>
  </si>
  <si>
    <t>Definition:</t>
  </si>
  <si>
    <t>%</t>
  </si>
  <si>
    <t>Griddle</t>
  </si>
  <si>
    <t>Fryer</t>
  </si>
  <si>
    <t>Broiler</t>
  </si>
  <si>
    <t>Range</t>
  </si>
  <si>
    <t>Steamer</t>
  </si>
  <si>
    <t>Convection Oven</t>
  </si>
  <si>
    <t>Combination Oven</t>
  </si>
  <si>
    <t>Under-counter Refrigerator</t>
  </si>
  <si>
    <t>Prep Table</t>
  </si>
  <si>
    <t>Hot-Food Holding Cabinet</t>
  </si>
  <si>
    <t>Pre-rinse sprayer</t>
  </si>
  <si>
    <t>Ice Machine</t>
  </si>
  <si>
    <t>days/yr</t>
  </si>
  <si>
    <t>Gas Rate ($/therm)</t>
  </si>
  <si>
    <t>Elec Rate ($/kWh)</t>
  </si>
  <si>
    <t>Water Rate ($/unit)</t>
  </si>
  <si>
    <t>Sewer Rate ($/unit)</t>
  </si>
  <si>
    <t>Combined Water &amp; Sewer Cost ($/unit)</t>
  </si>
  <si>
    <t>Ice Harvest Rate (lb/d)</t>
  </si>
  <si>
    <t>Water Use (gal/100 lb)</t>
  </si>
  <si>
    <t>Energy Consumption (kWh/100 lb)</t>
  </si>
  <si>
    <t>Daily Energy (kWh)</t>
  </si>
  <si>
    <t>Daily Water (gal)</t>
  </si>
  <si>
    <t>Annual Energy Consumption (kWh)</t>
  </si>
  <si>
    <t>Annual Water Consumption (units)</t>
  </si>
  <si>
    <t>Energy Cost ($/yr)</t>
  </si>
  <si>
    <t>Water Cost ($/yr)</t>
  </si>
  <si>
    <t>Sewer Cost ($/yr)</t>
  </si>
  <si>
    <t>Annual Utility Cost ($/yr)</t>
  </si>
  <si>
    <t>Prerinse Valve</t>
  </si>
  <si>
    <t>Water Use (gal/min)</t>
  </si>
  <si>
    <t>Average Usage (h/d)</t>
  </si>
  <si>
    <t>Water Heating Energy (therms/d)</t>
  </si>
  <si>
    <t>Annual Energy Consumption (therms)</t>
  </si>
  <si>
    <t>Cooking-Energy Efficiency (%)</t>
  </si>
  <si>
    <t>Idle Energy Rate (kW)</t>
  </si>
  <si>
    <t>Water Use (gal/h)</t>
  </si>
  <si>
    <t>Idle Energy Rate (Btu/h)</t>
  </si>
  <si>
    <t>Daily Energy (Therms)</t>
  </si>
  <si>
    <t>Toaster</t>
  </si>
  <si>
    <t>Duty Cycle</t>
  </si>
  <si>
    <t>Undercounter Refrigerator</t>
  </si>
  <si>
    <t>Undercounter Freezer</t>
  </si>
  <si>
    <t>Base Model</t>
  </si>
  <si>
    <t>Energy Star</t>
  </si>
  <si>
    <t>Low Flow</t>
  </si>
  <si>
    <t>High Flow</t>
  </si>
  <si>
    <t>Solid Door Reach-in Refrigerator</t>
  </si>
  <si>
    <t>Solid Door Reach-in Freezer</t>
  </si>
  <si>
    <t>ECM Model</t>
  </si>
  <si>
    <t>CEE Tier II</t>
  </si>
  <si>
    <t>Therms</t>
  </si>
  <si>
    <t>Average Energy Rate (Therms/h)</t>
  </si>
  <si>
    <t>Average Energy Rate (kW)</t>
  </si>
  <si>
    <t>Racks Per Day</t>
  </si>
  <si>
    <t>Water Use (gal/rack)</t>
  </si>
  <si>
    <t>Annual Energy Consumption (Therms)</t>
  </si>
  <si>
    <t>Holding Cabinet</t>
  </si>
  <si>
    <t>FEMP</t>
  </si>
  <si>
    <r>
      <t>Volume (ft</t>
    </r>
    <r>
      <rPr>
        <vertAlign val="superscript"/>
        <sz val="10"/>
        <rFont val="Arial"/>
        <family val="2"/>
      </rPr>
      <t>3</t>
    </r>
    <r>
      <rPr>
        <sz val="10"/>
        <rFont val="Arial"/>
        <family val="0"/>
      </rPr>
      <t>)</t>
    </r>
  </si>
  <si>
    <t>Water Heater</t>
  </si>
  <si>
    <t>Glass Door Reach-in Refrigerator</t>
  </si>
  <si>
    <t>Ultra High Efficiency</t>
  </si>
  <si>
    <t>Solid Reach-in Refrigerator</t>
  </si>
  <si>
    <t>Solid Reach-in Freezer</t>
  </si>
  <si>
    <t>Glass Reach-in Refrigerator</t>
  </si>
  <si>
    <t>Walk-in Freezer/Cooler</t>
  </si>
  <si>
    <t>Quantity</t>
  </si>
  <si>
    <t>Under-counter Freezer</t>
  </si>
  <si>
    <t>Inlet Temp</t>
  </si>
  <si>
    <t xml:space="preserve">Conveyer </t>
  </si>
  <si>
    <t>Pop-up</t>
  </si>
  <si>
    <t>Hot Water Heater</t>
  </si>
  <si>
    <t>Total Est. Savings ($)</t>
  </si>
  <si>
    <t>Casual Dining/Full Service</t>
  </si>
  <si>
    <t>Sit Down, Expanded menu dining</t>
  </si>
  <si>
    <t>Standard Efficiency</t>
  </si>
  <si>
    <t>Lighting</t>
  </si>
  <si>
    <t>Type</t>
  </si>
  <si>
    <t>Average Usage(h/d)</t>
  </si>
  <si>
    <t>ballasts</t>
  </si>
  <si>
    <t>Electronic</t>
  </si>
  <si>
    <t>T12 (2 per 4ft fixture)</t>
  </si>
  <si>
    <t>T8 (2 per 4ft fixture)</t>
  </si>
  <si>
    <t>Work lighting</t>
  </si>
  <si>
    <t>Incandescent</t>
  </si>
  <si>
    <t>CFL</t>
  </si>
  <si>
    <t>Wattage</t>
  </si>
  <si>
    <t>System Efficiency (%)</t>
  </si>
  <si>
    <t>Units</t>
  </si>
  <si>
    <t>Water</t>
  </si>
  <si>
    <t>Gas</t>
  </si>
  <si>
    <t>Electric</t>
  </si>
  <si>
    <t>ENERGY STAR, High Efficiency, Best Practice or CEE Tier II</t>
  </si>
  <si>
    <t>Costs</t>
  </si>
  <si>
    <t>Energy</t>
  </si>
  <si>
    <t>Rates</t>
  </si>
  <si>
    <t>Sewer</t>
  </si>
  <si>
    <t>$/therm</t>
  </si>
  <si>
    <t>$/kWh</t>
  </si>
  <si>
    <t>$/unit</t>
  </si>
  <si>
    <t>Total Est. Savings</t>
  </si>
  <si>
    <t>Energy-Using Food Service Equipment</t>
  </si>
  <si>
    <t>Item #</t>
  </si>
  <si>
    <t>Item Description</t>
  </si>
  <si>
    <t>Recommendations</t>
  </si>
  <si>
    <t>Fuel</t>
  </si>
  <si>
    <t>Hot Food Holding Cabinet</t>
  </si>
  <si>
    <t xml:space="preserve">Fryer </t>
  </si>
  <si>
    <t xml:space="preserve">Gas </t>
  </si>
  <si>
    <t>Additional Measures</t>
  </si>
  <si>
    <t>Best Practice</t>
  </si>
  <si>
    <t>Replace with energy efficient model</t>
  </si>
  <si>
    <t>Solid-Door Reach-in Refrigerator</t>
  </si>
  <si>
    <t>Solid-Door Reach-in Freezer</t>
  </si>
  <si>
    <t>Replace fan motors with Electronically Commutated Motors (ECM)</t>
  </si>
  <si>
    <t>CEE</t>
  </si>
  <si>
    <t>Replace with CEE recommended air-cooled model</t>
  </si>
  <si>
    <t>Pre-rinse spray valve</t>
  </si>
  <si>
    <t>Replace with low flow / energy efficient model</t>
  </si>
  <si>
    <t>Replace with low flow qualified model</t>
  </si>
  <si>
    <t>Replace with pop-up toaster</t>
  </si>
  <si>
    <t>Replace T12 fixtures with T8 fixtures</t>
  </si>
  <si>
    <t>Lighting - Incandescent</t>
  </si>
  <si>
    <t>Replace with CEE recommended model</t>
  </si>
  <si>
    <t>Demand Control Exhaust Hood</t>
  </si>
  <si>
    <t>Implement a rigorous start-up/shutdown and turndown schedule</t>
  </si>
  <si>
    <t>7500 CFM design exhaust rate reduced to an avg. of 5000 CFM</t>
  </si>
  <si>
    <t>Replace with Energy Star qualified model</t>
  </si>
  <si>
    <t>Ware washer</t>
  </si>
  <si>
    <t>Replace with ultra-high efficiency model</t>
  </si>
  <si>
    <t>Lighting - Fluorescent</t>
  </si>
  <si>
    <t>Replace incandescent bulbs with compact fluorescent bulbs (cfl)</t>
  </si>
  <si>
    <t>Demand Controlled Exhaust Hood</t>
  </si>
  <si>
    <t>Lighting – Fluorescent</t>
  </si>
  <si>
    <t>Lighting – Incandescent</t>
  </si>
  <si>
    <t>Outlet Temp</t>
  </si>
  <si>
    <t>Magnetic</t>
  </si>
  <si>
    <t>Ware washer Energy per Rack (kWh/Rack)</t>
  </si>
  <si>
    <r>
      <t>Refrigerator Volume (ft</t>
    </r>
    <r>
      <rPr>
        <vertAlign val="superscript"/>
        <sz val="10"/>
        <rFont val="Arial"/>
        <family val="2"/>
      </rPr>
      <t>3</t>
    </r>
    <r>
      <rPr>
        <sz val="10"/>
        <rFont val="Arial"/>
        <family val="0"/>
      </rPr>
      <t>)</t>
    </r>
  </si>
  <si>
    <t>Walk-in Refrigerator/Freezer Fan Motors</t>
  </si>
  <si>
    <t>Ventilation Cost(CFM/ft)</t>
  </si>
  <si>
    <t>Base Installation</t>
  </si>
  <si>
    <t>Off the shelf Demand control package</t>
  </si>
  <si>
    <t>using an off the shelf demand-ventilation control package.</t>
  </si>
  <si>
    <t>Ventilation Rate (CFM)</t>
  </si>
  <si>
    <t>http://www.fishnick.com/publications/industry/</t>
  </si>
  <si>
    <t>Link to:  Predicting Energy Consumption [of Kitchen Ventilation] – an active publication</t>
  </si>
  <si>
    <t>Bundled Savings</t>
  </si>
  <si>
    <t>E Star</t>
  </si>
  <si>
    <t>Standard</t>
  </si>
  <si>
    <t>Estar</t>
  </si>
  <si>
    <t>Energy Savings</t>
  </si>
  <si>
    <t>% Savings</t>
  </si>
  <si>
    <t>Weighted % Savings</t>
  </si>
  <si>
    <t>Btu</t>
  </si>
  <si>
    <t>Total Bundled % Savings</t>
  </si>
  <si>
    <t>CEE Tier I</t>
  </si>
  <si>
    <t>q</t>
  </si>
  <si>
    <t>Incremental</t>
  </si>
  <si>
    <t>$</t>
  </si>
  <si>
    <t>Simple</t>
  </si>
  <si>
    <t>Payback</t>
  </si>
  <si>
    <t>Years</t>
  </si>
  <si>
    <t>Estimated Life cycle (yr)</t>
  </si>
  <si>
    <t>Investment</t>
  </si>
  <si>
    <t>N/A</t>
  </si>
  <si>
    <t>Return on</t>
  </si>
  <si>
    <t>Cost per unit</t>
  </si>
  <si>
    <t>Total Incremental</t>
  </si>
  <si>
    <t>Cost</t>
  </si>
  <si>
    <t>Estimated Cost ($)</t>
  </si>
  <si>
    <t>Total Annual</t>
  </si>
  <si>
    <t>Annual Single Unit Savings</t>
  </si>
  <si>
    <t>Ventilation</t>
  </si>
  <si>
    <t>cfm/ft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</si>
</sst>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00"/>
    <numFmt numFmtId="166" formatCode="0.00000"/>
    <numFmt numFmtId="167" formatCode="0.0000"/>
    <numFmt numFmtId="168" formatCode="0.000"/>
    <numFmt numFmtId="169" formatCode="0.0"/>
    <numFmt numFmtId="170" formatCode="_(&quot;$&quot;* #,##0.0_);_(&quot;$&quot;* \(#,##0.0\);_(&quot;$&quot;* &quot;-&quot;??_);_(@_)"/>
    <numFmt numFmtId="171" formatCode="_(&quot;$&quot;* #,##0_);_(&quot;$&quot;* \(#,##0\);_(&quot;$&quot;* &quot;-&quot;??_);_(@_)"/>
    <numFmt numFmtId="172" formatCode="0.0000000"/>
    <numFmt numFmtId="173" formatCode="_(* #,##0.0_);_(* \(#,##0.0\);_(* &quot;-&quot;??_);_(@_)"/>
    <numFmt numFmtId="174" formatCode="_(* #,##0_);_(* \(#,##0\);_(* &quot;-&quot;??_);_(@_)"/>
    <numFmt numFmtId="175" formatCode="0.0000000000"/>
    <numFmt numFmtId="176" formatCode="0.000000000"/>
    <numFmt numFmtId="177" formatCode="0.00000000"/>
    <numFmt numFmtId="178" formatCode="0.0%"/>
    <numFmt numFmtId="179" formatCode="_(* #,##0.000_);_(* \(#,##0.000\);_(* &quot;-&quot;???_);_(@_)"/>
    <numFmt numFmtId="180" formatCode="0.000%"/>
    <numFmt numFmtId="181" formatCode="#,##0.0"/>
    <numFmt numFmtId="182" formatCode="&quot;$&quot;#,##0.00"/>
    <numFmt numFmtId="183" formatCode="#,##0.0_);\(#,##0.0\)"/>
  </numFmts>
  <fonts count="14">
    <font>
      <sz val="10"/>
      <name val="Arial"/>
      <family val="0"/>
    </font>
    <font>
      <b/>
      <sz val="14"/>
      <name val="Arial"/>
      <family val="2"/>
    </font>
    <font>
      <b/>
      <sz val="10"/>
      <name val="Arial"/>
      <family val="2"/>
    </font>
    <font>
      <b/>
      <u val="single"/>
      <sz val="10"/>
      <name val="Arial"/>
      <family val="2"/>
    </font>
    <font>
      <b/>
      <sz val="8"/>
      <name val="Tahoma"/>
      <family val="0"/>
    </font>
    <font>
      <vertAlign val="superscript"/>
      <sz val="10"/>
      <name val="Arial"/>
      <family val="2"/>
    </font>
    <font>
      <u val="single"/>
      <sz val="8"/>
      <color indexed="12"/>
      <name val="Arial"/>
      <family val="0"/>
    </font>
    <font>
      <u val="single"/>
      <sz val="8"/>
      <color indexed="36"/>
      <name val="Arial"/>
      <family val="0"/>
    </font>
    <font>
      <sz val="8"/>
      <name val="Tahoma"/>
      <family val="0"/>
    </font>
    <font>
      <b/>
      <sz val="12"/>
      <name val="Arial"/>
      <family val="2"/>
    </font>
    <font>
      <b/>
      <sz val="10"/>
      <color indexed="18"/>
      <name val="Arial"/>
      <family val="2"/>
    </font>
    <font>
      <b/>
      <i/>
      <sz val="10"/>
      <name val="Arial"/>
      <family val="2"/>
    </font>
    <font>
      <b/>
      <sz val="10"/>
      <color indexed="62"/>
      <name val="Arial"/>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16">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80">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quotePrefix="1">
      <alignment/>
    </xf>
    <xf numFmtId="0" fontId="3" fillId="0" borderId="0" xfId="0" applyFont="1" applyAlignment="1">
      <alignment horizontal="center"/>
    </xf>
    <xf numFmtId="0" fontId="2" fillId="0" borderId="1" xfId="0" applyFont="1" applyBorder="1" applyAlignment="1">
      <alignment/>
    </xf>
    <xf numFmtId="0" fontId="0" fillId="0" borderId="0" xfId="0" applyFont="1" applyAlignment="1">
      <alignment/>
    </xf>
    <xf numFmtId="0" fontId="0" fillId="0" borderId="0" xfId="0" applyFont="1" applyAlignment="1">
      <alignment horizontal="left"/>
    </xf>
    <xf numFmtId="9" fontId="0" fillId="0" borderId="0" xfId="0" applyNumberFormat="1" applyAlignment="1">
      <alignment/>
    </xf>
    <xf numFmtId="0" fontId="2" fillId="0" borderId="0" xfId="0" applyFont="1" applyBorder="1" applyAlignment="1">
      <alignment horizontal="center"/>
    </xf>
    <xf numFmtId="0" fontId="0" fillId="0" borderId="0" xfId="0" applyFont="1" applyFill="1" applyBorder="1" applyAlignment="1">
      <alignment/>
    </xf>
    <xf numFmtId="0" fontId="0" fillId="0" borderId="0" xfId="0" applyAlignment="1">
      <alignment wrapText="1"/>
    </xf>
    <xf numFmtId="0" fontId="0" fillId="2" borderId="1" xfId="0" applyFill="1" applyBorder="1" applyAlignment="1">
      <alignment/>
    </xf>
    <xf numFmtId="44" fontId="0" fillId="2" borderId="1" xfId="17" applyFill="1" applyBorder="1" applyAlignment="1">
      <alignment/>
    </xf>
    <xf numFmtId="44" fontId="0" fillId="0" borderId="0" xfId="0" applyNumberFormat="1" applyAlignment="1">
      <alignment/>
    </xf>
    <xf numFmtId="0" fontId="0" fillId="0" borderId="2" xfId="0" applyBorder="1" applyAlignment="1">
      <alignment/>
    </xf>
    <xf numFmtId="0" fontId="0" fillId="0" borderId="2" xfId="0" applyBorder="1" applyAlignment="1">
      <alignment wrapText="1"/>
    </xf>
    <xf numFmtId="0" fontId="0" fillId="0" borderId="2" xfId="0" applyFill="1" applyBorder="1" applyAlignment="1">
      <alignment wrapText="1"/>
    </xf>
    <xf numFmtId="0" fontId="0" fillId="0" borderId="0" xfId="0" applyAlignment="1">
      <alignment horizontal="left"/>
    </xf>
    <xf numFmtId="2" fontId="0" fillId="0" borderId="0" xfId="0" applyNumberFormat="1" applyAlignment="1">
      <alignment/>
    </xf>
    <xf numFmtId="171" fontId="0" fillId="0" borderId="0" xfId="0" applyNumberFormat="1" applyAlignment="1">
      <alignment/>
    </xf>
    <xf numFmtId="2" fontId="2" fillId="0" borderId="0" xfId="0" applyNumberFormat="1" applyFont="1" applyAlignment="1">
      <alignment/>
    </xf>
    <xf numFmtId="171" fontId="2" fillId="0" borderId="0" xfId="17" applyNumberFormat="1" applyFont="1" applyAlignment="1">
      <alignment/>
    </xf>
    <xf numFmtId="171" fontId="2" fillId="3" borderId="1" xfId="17" applyNumberFormat="1" applyFont="1" applyFill="1" applyBorder="1" applyAlignment="1">
      <alignment/>
    </xf>
    <xf numFmtId="169" fontId="0" fillId="0" borderId="0" xfId="0" applyNumberFormat="1" applyAlignment="1">
      <alignment/>
    </xf>
    <xf numFmtId="2" fontId="0" fillId="0" borderId="0" xfId="0" applyNumberFormat="1" applyAlignment="1">
      <alignment/>
    </xf>
    <xf numFmtId="0" fontId="0" fillId="0" borderId="0" xfId="0" applyAlignment="1">
      <alignment/>
    </xf>
    <xf numFmtId="171" fontId="2" fillId="0" borderId="0" xfId="17" applyNumberFormat="1" applyFont="1" applyFill="1" applyBorder="1" applyAlignment="1">
      <alignment/>
    </xf>
    <xf numFmtId="168" fontId="0" fillId="0" borderId="0" xfId="0" applyNumberFormat="1" applyAlignment="1">
      <alignment/>
    </xf>
    <xf numFmtId="0" fontId="0" fillId="4" borderId="2" xfId="0" applyFill="1" applyBorder="1" applyAlignment="1">
      <alignment wrapText="1"/>
    </xf>
    <xf numFmtId="0" fontId="0" fillId="4" borderId="2" xfId="0" applyFill="1" applyBorder="1" applyAlignment="1">
      <alignment/>
    </xf>
    <xf numFmtId="0" fontId="0" fillId="0" borderId="0" xfId="0" applyNumberFormat="1" applyAlignment="1">
      <alignment/>
    </xf>
    <xf numFmtId="44" fontId="0" fillId="0" borderId="0" xfId="17" applyAlignment="1">
      <alignment/>
    </xf>
    <xf numFmtId="0" fontId="0" fillId="4" borderId="2" xfId="0" applyFont="1" applyFill="1" applyBorder="1" applyAlignment="1">
      <alignment wrapText="1"/>
    </xf>
    <xf numFmtId="1" fontId="0" fillId="0" borderId="0" xfId="21" applyNumberFormat="1" applyAlignment="1">
      <alignment/>
    </xf>
    <xf numFmtId="169" fontId="2" fillId="0" borderId="0" xfId="0" applyNumberFormat="1" applyFont="1" applyAlignment="1">
      <alignment/>
    </xf>
    <xf numFmtId="0" fontId="0" fillId="0" borderId="3" xfId="0" applyBorder="1" applyAlignment="1">
      <alignment/>
    </xf>
    <xf numFmtId="44" fontId="0" fillId="0" borderId="3" xfId="17" applyBorder="1" applyAlignment="1">
      <alignment/>
    </xf>
    <xf numFmtId="0" fontId="0" fillId="0" borderId="4" xfId="0" applyBorder="1" applyAlignment="1">
      <alignment/>
    </xf>
    <xf numFmtId="44" fontId="0" fillId="0" borderId="4" xfId="17" applyBorder="1" applyAlignment="1">
      <alignment/>
    </xf>
    <xf numFmtId="0" fontId="2" fillId="0" borderId="0" xfId="0" applyFont="1" applyAlignment="1">
      <alignment wrapText="1"/>
    </xf>
    <xf numFmtId="178" fontId="2" fillId="0" borderId="3" xfId="0" applyNumberFormat="1" applyFont="1" applyBorder="1" applyAlignment="1">
      <alignment/>
    </xf>
    <xf numFmtId="0" fontId="0" fillId="0" borderId="0" xfId="0" applyNumberFormat="1" applyAlignment="1">
      <alignment/>
    </xf>
    <xf numFmtId="0" fontId="0" fillId="0" borderId="0" xfId="0" applyFill="1" applyAlignment="1">
      <alignment horizontal="left"/>
    </xf>
    <xf numFmtId="0" fontId="0" fillId="0" borderId="0" xfId="0" applyFill="1" applyAlignment="1">
      <alignment/>
    </xf>
    <xf numFmtId="43" fontId="0" fillId="0" borderId="4" xfId="15" applyBorder="1" applyAlignment="1">
      <alignment/>
    </xf>
    <xf numFmtId="39" fontId="0" fillId="0" borderId="4" xfId="15" applyNumberFormat="1" applyBorder="1" applyAlignment="1">
      <alignment/>
    </xf>
    <xf numFmtId="0" fontId="0" fillId="0" borderId="5" xfId="0" applyBorder="1" applyAlignment="1">
      <alignment/>
    </xf>
    <xf numFmtId="44" fontId="0" fillId="0" borderId="6" xfId="17" applyBorder="1" applyAlignment="1">
      <alignment/>
    </xf>
    <xf numFmtId="43" fontId="0" fillId="0" borderId="6" xfId="15" applyBorder="1" applyAlignment="1">
      <alignment/>
    </xf>
    <xf numFmtId="39" fontId="0" fillId="0" borderId="6" xfId="15" applyNumberFormat="1" applyBorder="1" applyAlignment="1">
      <alignment/>
    </xf>
    <xf numFmtId="0" fontId="0" fillId="0" borderId="0" xfId="0" applyBorder="1" applyAlignment="1">
      <alignment/>
    </xf>
    <xf numFmtId="44" fontId="0" fillId="0" borderId="0" xfId="17" applyBorder="1" applyAlignment="1">
      <alignment/>
    </xf>
    <xf numFmtId="43" fontId="0" fillId="0" borderId="0" xfId="15" applyBorder="1" applyAlignment="1">
      <alignment/>
    </xf>
    <xf numFmtId="39" fontId="0" fillId="0" borderId="0" xfId="15" applyNumberFormat="1" applyBorder="1" applyAlignment="1">
      <alignment/>
    </xf>
    <xf numFmtId="0" fontId="0" fillId="0" borderId="7" xfId="0" applyBorder="1" applyAlignment="1">
      <alignment/>
    </xf>
    <xf numFmtId="2" fontId="0" fillId="0" borderId="7" xfId="0" applyNumberFormat="1" applyBorder="1" applyAlignment="1">
      <alignment/>
    </xf>
    <xf numFmtId="0" fontId="0" fillId="0" borderId="8" xfId="0" applyBorder="1" applyAlignment="1">
      <alignment/>
    </xf>
    <xf numFmtId="0" fontId="0" fillId="0" borderId="9" xfId="0" applyBorder="1" applyAlignment="1">
      <alignment/>
    </xf>
    <xf numFmtId="0" fontId="0" fillId="0" borderId="10" xfId="0" applyFont="1" applyFill="1" applyBorder="1" applyAlignment="1">
      <alignment/>
    </xf>
    <xf numFmtId="0" fontId="0" fillId="0" borderId="10" xfId="0" applyBorder="1" applyAlignment="1">
      <alignment/>
    </xf>
    <xf numFmtId="0" fontId="0" fillId="0" borderId="11" xfId="0" applyBorder="1" applyAlignment="1">
      <alignment/>
    </xf>
    <xf numFmtId="44" fontId="0" fillId="0" borderId="5" xfId="17" applyBorder="1" applyAlignment="1">
      <alignment/>
    </xf>
    <xf numFmtId="44" fontId="0" fillId="0" borderId="7" xfId="17" applyBorder="1" applyAlignment="1">
      <alignment/>
    </xf>
    <xf numFmtId="44" fontId="0" fillId="0" borderId="8" xfId="17" applyBorder="1" applyAlignment="1">
      <alignment/>
    </xf>
    <xf numFmtId="44" fontId="0" fillId="0" borderId="9" xfId="17" applyBorder="1" applyAlignment="1">
      <alignment/>
    </xf>
    <xf numFmtId="44" fontId="0" fillId="0" borderId="10" xfId="17" applyBorder="1" applyAlignment="1">
      <alignment/>
    </xf>
    <xf numFmtId="44" fontId="0" fillId="0" borderId="11" xfId="17" applyBorder="1" applyAlignment="1">
      <alignment/>
    </xf>
    <xf numFmtId="2" fontId="0" fillId="0" borderId="9" xfId="0" applyNumberFormat="1" applyBorder="1" applyAlignment="1">
      <alignment/>
    </xf>
    <xf numFmtId="2" fontId="0" fillId="0" borderId="10" xfId="0" applyNumberFormat="1" applyBorder="1" applyAlignment="1">
      <alignment/>
    </xf>
    <xf numFmtId="2" fontId="0" fillId="0" borderId="11" xfId="0" applyNumberFormat="1" applyBorder="1" applyAlignment="1">
      <alignment/>
    </xf>
    <xf numFmtId="43" fontId="0" fillId="0" borderId="10" xfId="15" applyBorder="1" applyAlignment="1">
      <alignment/>
    </xf>
    <xf numFmtId="43" fontId="0" fillId="0" borderId="10" xfId="15" applyFont="1" applyBorder="1" applyAlignment="1">
      <alignment/>
    </xf>
    <xf numFmtId="178" fontId="0" fillId="0" borderId="7" xfId="21" applyNumberFormat="1" applyBorder="1" applyAlignment="1">
      <alignment/>
    </xf>
    <xf numFmtId="178" fontId="0" fillId="0" borderId="8" xfId="21" applyNumberFormat="1" applyBorder="1" applyAlignment="1">
      <alignment/>
    </xf>
    <xf numFmtId="43" fontId="0" fillId="0" borderId="10" xfId="15" applyNumberFormat="1" applyBorder="1" applyAlignment="1">
      <alignment/>
    </xf>
    <xf numFmtId="43" fontId="0" fillId="0" borderId="9" xfId="15" applyNumberFormat="1" applyBorder="1" applyAlignment="1">
      <alignment/>
    </xf>
    <xf numFmtId="43" fontId="0" fillId="0" borderId="11" xfId="15" applyNumberFormat="1" applyBorder="1" applyAlignment="1">
      <alignment/>
    </xf>
    <xf numFmtId="0" fontId="2" fillId="4" borderId="8" xfId="0" applyFont="1" applyFill="1" applyBorder="1" applyAlignment="1">
      <alignment horizontal="center"/>
    </xf>
    <xf numFmtId="0" fontId="2" fillId="4" borderId="1" xfId="0" applyFont="1" applyFill="1" applyBorder="1" applyAlignment="1">
      <alignment horizontal="center"/>
    </xf>
    <xf numFmtId="0" fontId="2" fillId="4" borderId="11" xfId="0" applyFont="1" applyFill="1" applyBorder="1" applyAlignment="1">
      <alignment horizontal="center"/>
    </xf>
    <xf numFmtId="0" fontId="2" fillId="5" borderId="12" xfId="0" applyFont="1" applyFill="1" applyBorder="1" applyAlignment="1">
      <alignment horizontal="center"/>
    </xf>
    <xf numFmtId="0" fontId="2" fillId="5" borderId="1" xfId="0" applyFont="1" applyFill="1" applyBorder="1" applyAlignment="1">
      <alignment horizontal="center"/>
    </xf>
    <xf numFmtId="0" fontId="2" fillId="6" borderId="1" xfId="0" applyFont="1" applyFill="1" applyBorder="1" applyAlignment="1">
      <alignment horizontal="center"/>
    </xf>
    <xf numFmtId="0" fontId="2" fillId="6" borderId="11" xfId="0" applyFont="1" applyFill="1" applyBorder="1" applyAlignment="1">
      <alignment horizontal="center"/>
    </xf>
    <xf numFmtId="0" fontId="2" fillId="5" borderId="13" xfId="0" applyFont="1" applyFill="1" applyBorder="1" applyAlignment="1">
      <alignment horizontal="center"/>
    </xf>
    <xf numFmtId="0" fontId="2" fillId="5" borderId="9" xfId="0" applyFont="1" applyFill="1" applyBorder="1" applyAlignment="1">
      <alignment horizontal="center"/>
    </xf>
    <xf numFmtId="0" fontId="0" fillId="7" borderId="5" xfId="0" applyFill="1" applyBorder="1" applyAlignment="1">
      <alignment/>
    </xf>
    <xf numFmtId="44" fontId="0" fillId="7" borderId="14" xfId="17" applyFill="1" applyBorder="1" applyAlignment="1">
      <alignment/>
    </xf>
    <xf numFmtId="0" fontId="0" fillId="7" borderId="8" xfId="0" applyFont="1" applyFill="1" applyBorder="1" applyAlignment="1">
      <alignment/>
    </xf>
    <xf numFmtId="44" fontId="0" fillId="7" borderId="15" xfId="17" applyFill="1" applyBorder="1" applyAlignment="1">
      <alignment/>
    </xf>
    <xf numFmtId="0" fontId="0" fillId="7" borderId="12" xfId="0" applyFont="1" applyFill="1" applyBorder="1" applyAlignment="1">
      <alignment/>
    </xf>
    <xf numFmtId="44" fontId="0" fillId="7" borderId="13" xfId="17" applyFill="1" applyBorder="1" applyAlignment="1">
      <alignment/>
    </xf>
    <xf numFmtId="0" fontId="0" fillId="7" borderId="1" xfId="0" applyFill="1" applyBorder="1" applyAlignment="1">
      <alignment/>
    </xf>
    <xf numFmtId="44" fontId="2" fillId="0" borderId="3" xfId="17" applyFont="1" applyBorder="1" applyAlignment="1">
      <alignment/>
    </xf>
    <xf numFmtId="0" fontId="10" fillId="0" borderId="0" xfId="0" applyFont="1" applyAlignment="1">
      <alignment horizontal="center" wrapText="1"/>
    </xf>
    <xf numFmtId="0" fontId="9" fillId="0" borderId="0" xfId="0" applyFont="1" applyAlignment="1">
      <alignment horizontal="left"/>
    </xf>
    <xf numFmtId="0" fontId="10" fillId="0" borderId="0" xfId="0" applyFont="1" applyAlignment="1">
      <alignment/>
    </xf>
    <xf numFmtId="174" fontId="0" fillId="0" borderId="0" xfId="15" applyNumberFormat="1" applyAlignment="1">
      <alignment/>
    </xf>
    <xf numFmtId="174" fontId="0" fillId="0" borderId="0" xfId="15" applyNumberFormat="1" applyFont="1" applyAlignment="1">
      <alignment/>
    </xf>
    <xf numFmtId="171" fontId="0" fillId="0" borderId="0" xfId="17" applyNumberFormat="1" applyAlignment="1">
      <alignment/>
    </xf>
    <xf numFmtId="0" fontId="11" fillId="0" borderId="0" xfId="0" applyFont="1" applyAlignment="1">
      <alignment/>
    </xf>
    <xf numFmtId="171" fontId="11" fillId="0" borderId="0" xfId="0" applyNumberFormat="1" applyFont="1" applyAlignment="1">
      <alignment/>
    </xf>
    <xf numFmtId="0" fontId="12" fillId="0" borderId="0" xfId="0" applyFont="1" applyAlignment="1">
      <alignment/>
    </xf>
    <xf numFmtId="0" fontId="0" fillId="0" borderId="0" xfId="0" applyFont="1" applyFill="1" applyAlignment="1">
      <alignment/>
    </xf>
    <xf numFmtId="0" fontId="12" fillId="0" borderId="0" xfId="0" applyFont="1" applyFill="1" applyAlignment="1">
      <alignment/>
    </xf>
    <xf numFmtId="0" fontId="0" fillId="0" borderId="0" xfId="0" applyFont="1" applyAlignment="1">
      <alignment horizontal="center"/>
    </xf>
    <xf numFmtId="0" fontId="10" fillId="0" borderId="0" xfId="0" applyFont="1" applyAlignment="1">
      <alignment horizontal="center"/>
    </xf>
    <xf numFmtId="0" fontId="6" fillId="0" borderId="0" xfId="20" applyAlignment="1">
      <alignment/>
    </xf>
    <xf numFmtId="3" fontId="0" fillId="0" borderId="0" xfId="0" applyNumberFormat="1" applyAlignment="1">
      <alignment/>
    </xf>
    <xf numFmtId="2" fontId="2" fillId="0" borderId="0" xfId="17" applyNumberFormat="1" applyFont="1" applyFill="1" applyBorder="1" applyAlignment="1">
      <alignment/>
    </xf>
    <xf numFmtId="43" fontId="0" fillId="0" borderId="3" xfId="0" applyNumberFormat="1" applyBorder="1" applyAlignment="1">
      <alignment/>
    </xf>
    <xf numFmtId="2" fontId="0" fillId="0" borderId="0" xfId="0" applyNumberFormat="1" applyBorder="1" applyAlignment="1">
      <alignment/>
    </xf>
    <xf numFmtId="178" fontId="0" fillId="0" borderId="0" xfId="21" applyNumberFormat="1" applyBorder="1" applyAlignment="1">
      <alignment/>
    </xf>
    <xf numFmtId="43" fontId="0" fillId="0" borderId="0" xfId="0" applyNumberFormat="1" applyAlignment="1">
      <alignment/>
    </xf>
    <xf numFmtId="43" fontId="0" fillId="0" borderId="0" xfId="15" applyAlignment="1">
      <alignment/>
    </xf>
    <xf numFmtId="2" fontId="0" fillId="0" borderId="0" xfId="21" applyNumberFormat="1" applyBorder="1" applyAlignment="1">
      <alignment/>
    </xf>
    <xf numFmtId="0" fontId="2" fillId="0" borderId="0" xfId="0" applyFont="1" applyFill="1" applyBorder="1" applyAlignment="1">
      <alignment horizontal="center"/>
    </xf>
    <xf numFmtId="178" fontId="0" fillId="0" borderId="0" xfId="21" applyNumberFormat="1" applyAlignment="1">
      <alignment/>
    </xf>
    <xf numFmtId="178" fontId="2" fillId="0" borderId="6" xfId="0" applyNumberFormat="1" applyFont="1" applyBorder="1" applyAlignment="1">
      <alignment/>
    </xf>
    <xf numFmtId="178" fontId="2" fillId="0" borderId="0" xfId="0" applyNumberFormat="1" applyFont="1" applyBorder="1" applyAlignment="1">
      <alignment/>
    </xf>
    <xf numFmtId="43" fontId="0" fillId="0" borderId="1" xfId="15" applyBorder="1" applyAlignment="1">
      <alignment/>
    </xf>
    <xf numFmtId="0" fontId="0" fillId="0" borderId="1" xfId="0" applyBorder="1" applyAlignment="1">
      <alignment/>
    </xf>
    <xf numFmtId="180" fontId="0" fillId="0" borderId="0" xfId="21" applyNumberFormat="1" applyAlignment="1">
      <alignment/>
    </xf>
    <xf numFmtId="0" fontId="0" fillId="0" borderId="12" xfId="0" applyBorder="1" applyAlignment="1">
      <alignment/>
    </xf>
    <xf numFmtId="0" fontId="0" fillId="0" borderId="13" xfId="0" applyBorder="1" applyAlignment="1">
      <alignment/>
    </xf>
    <xf numFmtId="10" fontId="0" fillId="0" borderId="1" xfId="21" applyNumberFormat="1" applyBorder="1" applyAlignment="1">
      <alignment/>
    </xf>
    <xf numFmtId="43" fontId="0" fillId="0" borderId="12" xfId="0" applyNumberFormat="1" applyBorder="1" applyAlignment="1">
      <alignment/>
    </xf>
    <xf numFmtId="178" fontId="0" fillId="0" borderId="13" xfId="21" applyNumberFormat="1" applyFont="1" applyBorder="1" applyAlignment="1">
      <alignment/>
    </xf>
    <xf numFmtId="180" fontId="0" fillId="0" borderId="13" xfId="21" applyNumberFormat="1" applyFont="1" applyBorder="1" applyAlignment="1">
      <alignment/>
    </xf>
    <xf numFmtId="4" fontId="0" fillId="0" borderId="0" xfId="0" applyNumberFormat="1" applyAlignment="1">
      <alignment/>
    </xf>
    <xf numFmtId="44" fontId="2" fillId="0" borderId="0" xfId="0" applyNumberFormat="1" applyFont="1" applyBorder="1" applyAlignment="1">
      <alignment/>
    </xf>
    <xf numFmtId="3" fontId="0" fillId="0" borderId="0" xfId="0" applyNumberFormat="1" applyFill="1" applyAlignment="1">
      <alignment/>
    </xf>
    <xf numFmtId="183" fontId="0" fillId="0" borderId="0" xfId="17" applyNumberFormat="1" applyBorder="1" applyAlignment="1">
      <alignment/>
    </xf>
    <xf numFmtId="44" fontId="0" fillId="0" borderId="0" xfId="17" applyNumberFormat="1" applyBorder="1" applyAlignment="1">
      <alignment/>
    </xf>
    <xf numFmtId="0" fontId="2" fillId="8" borderId="9" xfId="0" applyFont="1" applyFill="1" applyBorder="1" applyAlignment="1">
      <alignment horizontal="center"/>
    </xf>
    <xf numFmtId="0" fontId="2" fillId="8" borderId="11" xfId="0" applyFont="1" applyFill="1" applyBorder="1" applyAlignment="1">
      <alignment horizontal="center"/>
    </xf>
    <xf numFmtId="0" fontId="2" fillId="8" borderId="1" xfId="0" applyFont="1" applyFill="1" applyBorder="1" applyAlignment="1">
      <alignment horizontal="center"/>
    </xf>
    <xf numFmtId="183" fontId="0" fillId="0" borderId="0" xfId="17" applyNumberFormat="1" applyFont="1" applyBorder="1" applyAlignment="1">
      <alignment/>
    </xf>
    <xf numFmtId="44" fontId="0" fillId="0" borderId="0" xfId="17" applyFont="1" applyBorder="1" applyAlignment="1">
      <alignment/>
    </xf>
    <xf numFmtId="44" fontId="0" fillId="0" borderId="10" xfId="17" applyFill="1" applyBorder="1" applyAlignment="1">
      <alignment/>
    </xf>
    <xf numFmtId="2" fontId="0" fillId="0" borderId="10" xfId="0" applyNumberFormat="1" applyFill="1" applyBorder="1" applyAlignment="1">
      <alignment/>
    </xf>
    <xf numFmtId="43" fontId="0" fillId="0" borderId="0" xfId="15" applyFill="1" applyBorder="1" applyAlignment="1">
      <alignment/>
    </xf>
    <xf numFmtId="44" fontId="0" fillId="0" borderId="0" xfId="17" applyFill="1" applyBorder="1" applyAlignment="1">
      <alignment/>
    </xf>
    <xf numFmtId="44" fontId="0" fillId="0" borderId="7" xfId="17" applyFill="1" applyBorder="1" applyAlignment="1">
      <alignment/>
    </xf>
    <xf numFmtId="178" fontId="0" fillId="0" borderId="7" xfId="21" applyNumberFormat="1" applyFill="1" applyBorder="1" applyAlignment="1">
      <alignment/>
    </xf>
    <xf numFmtId="2" fontId="0" fillId="0" borderId="7" xfId="0" applyNumberFormat="1" applyFill="1" applyBorder="1" applyAlignment="1">
      <alignment/>
    </xf>
    <xf numFmtId="44" fontId="0" fillId="0" borderId="0" xfId="0" applyNumberFormat="1" applyFill="1" applyAlignment="1">
      <alignment/>
    </xf>
    <xf numFmtId="39" fontId="0" fillId="0" borderId="0" xfId="15" applyNumberFormat="1" applyFill="1" applyBorder="1" applyAlignment="1">
      <alignment/>
    </xf>
    <xf numFmtId="43" fontId="0" fillId="0" borderId="10" xfId="15" applyFill="1" applyBorder="1" applyAlignment="1">
      <alignment/>
    </xf>
    <xf numFmtId="43" fontId="0" fillId="0" borderId="10" xfId="15" applyNumberFormat="1" applyFill="1" applyBorder="1" applyAlignment="1">
      <alignment/>
    </xf>
    <xf numFmtId="0" fontId="2" fillId="0" borderId="7" xfId="0" applyFont="1" applyFill="1" applyBorder="1" applyAlignment="1">
      <alignment horizontal="center"/>
    </xf>
    <xf numFmtId="44" fontId="0" fillId="0" borderId="0" xfId="17" applyFill="1" applyAlignment="1">
      <alignment/>
    </xf>
    <xf numFmtId="0" fontId="2" fillId="0" borderId="0" xfId="0" applyFont="1" applyAlignment="1">
      <alignment horizontal="center"/>
    </xf>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5" borderId="3" xfId="0" applyFont="1" applyFill="1" applyBorder="1" applyAlignment="1">
      <alignment horizontal="center"/>
    </xf>
    <xf numFmtId="0" fontId="0" fillId="7" borderId="12" xfId="0" applyFill="1" applyBorder="1" applyAlignment="1">
      <alignment horizontal="center"/>
    </xf>
    <xf numFmtId="0" fontId="0" fillId="7" borderId="3" xfId="0" applyFill="1" applyBorder="1" applyAlignment="1">
      <alignment horizontal="center"/>
    </xf>
    <xf numFmtId="0" fontId="0" fillId="0" borderId="13" xfId="0" applyBorder="1" applyAlignment="1">
      <alignment/>
    </xf>
    <xf numFmtId="0" fontId="2" fillId="6" borderId="12" xfId="0" applyFont="1" applyFill="1" applyBorder="1" applyAlignment="1">
      <alignment horizontal="center"/>
    </xf>
    <xf numFmtId="0" fontId="0" fillId="6" borderId="3" xfId="0" applyFill="1" applyBorder="1" applyAlignment="1">
      <alignment horizontal="center"/>
    </xf>
    <xf numFmtId="0" fontId="0" fillId="6" borderId="13" xfId="0" applyFill="1" applyBorder="1" applyAlignment="1">
      <alignment horizontal="center"/>
    </xf>
    <xf numFmtId="0" fontId="2" fillId="4" borderId="12" xfId="0" applyFont="1" applyFill="1" applyBorder="1" applyAlignment="1">
      <alignment horizontal="center"/>
    </xf>
    <xf numFmtId="0" fontId="0" fillId="4" borderId="3" xfId="0" applyFill="1" applyBorder="1" applyAlignment="1">
      <alignment horizontal="center"/>
    </xf>
    <xf numFmtId="0" fontId="0" fillId="4" borderId="13" xfId="0" applyFill="1" applyBorder="1" applyAlignment="1">
      <alignment horizontal="center"/>
    </xf>
    <xf numFmtId="0" fontId="2" fillId="4" borderId="8" xfId="0" applyFont="1" applyFill="1" applyBorder="1" applyAlignment="1">
      <alignment horizontal="center"/>
    </xf>
    <xf numFmtId="0" fontId="0" fillId="4" borderId="4" xfId="0" applyFill="1" applyBorder="1" applyAlignment="1">
      <alignment horizontal="center"/>
    </xf>
    <xf numFmtId="0" fontId="2" fillId="4" borderId="3" xfId="0" applyFont="1" applyFill="1" applyBorder="1" applyAlignment="1">
      <alignment horizontal="center"/>
    </xf>
    <xf numFmtId="0" fontId="2" fillId="6" borderId="8" xfId="0" applyFont="1" applyFill="1" applyBorder="1" applyAlignment="1">
      <alignment horizontal="center"/>
    </xf>
    <xf numFmtId="0" fontId="2" fillId="6" borderId="4" xfId="0" applyFont="1" applyFill="1" applyBorder="1" applyAlignment="1">
      <alignment horizontal="center"/>
    </xf>
    <xf numFmtId="0" fontId="9" fillId="0" borderId="0" xfId="0" applyFont="1" applyAlignment="1">
      <alignment horizontal="left"/>
    </xf>
    <xf numFmtId="43" fontId="0" fillId="0" borderId="9" xfId="15" applyFill="1" applyBorder="1" applyAlignment="1">
      <alignment/>
    </xf>
    <xf numFmtId="2" fontId="0" fillId="0" borderId="0" xfId="0" applyNumberFormat="1" applyFill="1" applyBorder="1" applyAlignment="1">
      <alignment/>
    </xf>
    <xf numFmtId="0" fontId="0" fillId="0" borderId="0" xfId="0" applyFill="1" applyBorder="1" applyAlignment="1">
      <alignment/>
    </xf>
    <xf numFmtId="0" fontId="0" fillId="0" borderId="0" xfId="0" applyFont="1" applyFill="1" applyAlignment="1">
      <alignment/>
    </xf>
    <xf numFmtId="44" fontId="0" fillId="2" borderId="1" xfId="0" applyNumberFormat="1" applyFill="1" applyBorder="1" applyAlignment="1">
      <alignment/>
    </xf>
    <xf numFmtId="44" fontId="0" fillId="2" borderId="1" xfId="17" applyFill="1" applyBorder="1" applyAlignment="1">
      <alignment/>
    </xf>
    <xf numFmtId="0" fontId="0" fillId="4" borderId="2" xfId="0" applyFont="1" applyFill="1" applyBorder="1" applyAlignment="1">
      <alignment/>
    </xf>
    <xf numFmtId="44" fontId="2" fillId="0" borderId="13"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shnick.com/publications/industry/"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I48"/>
  <sheetViews>
    <sheetView tabSelected="1" workbookViewId="0" topLeftCell="A1">
      <pane xSplit="3" topLeftCell="R1" activePane="topRight" state="frozen"/>
      <selection pane="topLeft" activeCell="A1" sqref="A1"/>
      <selection pane="topRight" activeCell="X41" sqref="X41"/>
    </sheetView>
  </sheetViews>
  <sheetFormatPr defaultColWidth="9.140625" defaultRowHeight="12.75"/>
  <cols>
    <col min="1" max="1" width="9.57421875" style="0" customWidth="1"/>
    <col min="2" max="2" width="28.28125" style="0" customWidth="1"/>
    <col min="3" max="3" width="8.421875" style="0" customWidth="1"/>
    <col min="4" max="4" width="10.00390625" style="0" customWidth="1"/>
    <col min="5" max="6" width="12.421875" style="0" customWidth="1"/>
    <col min="7" max="7" width="11.8515625" style="0" customWidth="1"/>
    <col min="8" max="9" width="12.57421875" style="0" customWidth="1"/>
    <col min="10" max="10" width="11.00390625" style="0" customWidth="1"/>
    <col min="11" max="11" width="12.28125" style="0" customWidth="1"/>
    <col min="12" max="12" width="14.421875" style="0" customWidth="1"/>
    <col min="13" max="13" width="13.00390625" style="0" customWidth="1"/>
    <col min="14" max="14" width="15.00390625" style="0" customWidth="1"/>
    <col min="15" max="15" width="14.00390625" style="0" customWidth="1"/>
    <col min="16" max="16" width="12.28125" style="0" customWidth="1"/>
    <col min="17" max="17" width="11.28125" style="0" bestFit="1" customWidth="1"/>
    <col min="18" max="18" width="12.57421875" style="0" customWidth="1"/>
    <col min="19" max="19" width="10.57421875" style="0" customWidth="1"/>
    <col min="20" max="20" width="14.7109375" style="0" customWidth="1"/>
    <col min="21" max="25" width="17.28125" style="0" customWidth="1"/>
    <col min="26" max="26" width="21.00390625" style="0" customWidth="1"/>
    <col min="27" max="27" width="18.8515625" style="0" bestFit="1" customWidth="1"/>
    <col min="28" max="28" width="10.28125" style="0" bestFit="1" customWidth="1"/>
    <col min="29" max="29" width="15.140625" style="0" bestFit="1" customWidth="1"/>
    <col min="30" max="30" width="10.140625" style="0" bestFit="1" customWidth="1"/>
    <col min="31" max="31" width="11.28125" style="0" customWidth="1"/>
    <col min="32" max="33" width="11.28125" style="0" bestFit="1" customWidth="1"/>
    <col min="34" max="34" width="15.140625" style="0" bestFit="1" customWidth="1"/>
    <col min="35" max="35" width="10.140625" style="0" bestFit="1" customWidth="1"/>
  </cols>
  <sheetData>
    <row r="1" spans="1:19" ht="18">
      <c r="A1" s="1" t="s">
        <v>0</v>
      </c>
      <c r="B1" s="1"/>
      <c r="C1" s="1"/>
      <c r="D1" s="1"/>
      <c r="E1" s="1"/>
      <c r="F1" s="1"/>
      <c r="G1" s="1"/>
      <c r="H1" s="1"/>
      <c r="I1" s="1"/>
      <c r="J1" s="1"/>
      <c r="K1" s="1"/>
      <c r="L1" s="1"/>
      <c r="M1" s="2"/>
      <c r="N1" s="2"/>
      <c r="O1" s="2"/>
      <c r="P1" s="2"/>
      <c r="Q1" s="2"/>
      <c r="R1" s="2"/>
      <c r="S1" s="2"/>
    </row>
    <row r="2" ht="12.75">
      <c r="Y2" s="44"/>
    </row>
    <row r="3" spans="1:25" ht="12.75">
      <c r="A3" s="2" t="s">
        <v>1</v>
      </c>
      <c r="B3" s="7" t="s">
        <v>85</v>
      </c>
      <c r="C3" s="4"/>
      <c r="E3" s="157" t="s">
        <v>107</v>
      </c>
      <c r="F3" s="158"/>
      <c r="G3" s="159"/>
      <c r="M3" s="44"/>
      <c r="U3" s="44"/>
      <c r="Y3" s="175"/>
    </row>
    <row r="4" spans="1:25" ht="12.75">
      <c r="A4" s="2"/>
      <c r="B4" s="4"/>
      <c r="C4" s="4"/>
      <c r="E4" s="87" t="s">
        <v>102</v>
      </c>
      <c r="F4" s="88">
        <v>1</v>
      </c>
      <c r="G4" s="93" t="s">
        <v>109</v>
      </c>
      <c r="U4" s="44"/>
      <c r="Y4" s="44"/>
    </row>
    <row r="5" spans="1:7" ht="12.75">
      <c r="A5" s="2" t="s">
        <v>9</v>
      </c>
      <c r="B5" t="s">
        <v>86</v>
      </c>
      <c r="C5" s="7"/>
      <c r="D5" s="6"/>
      <c r="E5" s="91" t="s">
        <v>103</v>
      </c>
      <c r="F5" s="92">
        <v>0.1</v>
      </c>
      <c r="G5" s="93" t="s">
        <v>110</v>
      </c>
    </row>
    <row r="6" spans="5:21" ht="12.75">
      <c r="E6" s="91" t="s">
        <v>101</v>
      </c>
      <c r="F6" s="92">
        <v>2</v>
      </c>
      <c r="G6" s="93" t="s">
        <v>111</v>
      </c>
      <c r="P6" s="44"/>
      <c r="Q6" s="44"/>
      <c r="S6" s="44"/>
      <c r="U6" s="44"/>
    </row>
    <row r="7" spans="1:19" ht="12.75">
      <c r="A7" s="2" t="s">
        <v>2</v>
      </c>
      <c r="E7" s="89" t="s">
        <v>108</v>
      </c>
      <c r="F7" s="90">
        <v>3</v>
      </c>
      <c r="G7" s="93" t="s">
        <v>111</v>
      </c>
      <c r="P7" s="44"/>
      <c r="Q7" s="44"/>
      <c r="S7" s="44"/>
    </row>
    <row r="8" spans="1:19" ht="12.75">
      <c r="A8" s="2"/>
      <c r="E8" s="91" t="s">
        <v>185</v>
      </c>
      <c r="F8" s="90">
        <v>1</v>
      </c>
      <c r="G8" s="93" t="s">
        <v>186</v>
      </c>
      <c r="S8" s="44"/>
    </row>
    <row r="9" spans="1:18" ht="12.75">
      <c r="A9" s="2"/>
      <c r="B9" s="2"/>
      <c r="C9" s="2"/>
      <c r="D9" s="9"/>
      <c r="E9" s="9"/>
      <c r="F9" s="9"/>
      <c r="G9" s="9"/>
      <c r="H9" s="9"/>
      <c r="I9" s="9"/>
      <c r="J9" s="2"/>
      <c r="K9" s="2"/>
      <c r="L9" s="2"/>
      <c r="M9" s="2"/>
      <c r="N9" s="2"/>
      <c r="O9" s="2"/>
      <c r="P9" s="2"/>
      <c r="Q9" s="2"/>
      <c r="R9" s="2"/>
    </row>
    <row r="10" spans="1:26" ht="12.75">
      <c r="A10" s="2"/>
      <c r="B10" s="2"/>
      <c r="C10" s="2"/>
      <c r="D10" s="160" t="s">
        <v>87</v>
      </c>
      <c r="E10" s="161"/>
      <c r="F10" s="161"/>
      <c r="G10" s="161"/>
      <c r="H10" s="161"/>
      <c r="I10" s="162"/>
      <c r="J10" s="163" t="s">
        <v>104</v>
      </c>
      <c r="K10" s="164"/>
      <c r="L10" s="164"/>
      <c r="M10" s="164"/>
      <c r="N10" s="164"/>
      <c r="O10" s="165"/>
      <c r="P10" s="154" t="s">
        <v>184</v>
      </c>
      <c r="Q10" s="156"/>
      <c r="R10" s="156"/>
      <c r="S10" s="156"/>
      <c r="T10" s="155"/>
      <c r="U10" s="85" t="s">
        <v>183</v>
      </c>
      <c r="V10" s="135" t="s">
        <v>170</v>
      </c>
      <c r="W10" s="135" t="s">
        <v>180</v>
      </c>
      <c r="X10" s="135" t="s">
        <v>172</v>
      </c>
      <c r="Y10" s="135" t="s">
        <v>178</v>
      </c>
      <c r="Z10" s="2"/>
    </row>
    <row r="11" spans="2:35" ht="12.75">
      <c r="B11" s="2"/>
      <c r="C11" s="2"/>
      <c r="D11" s="169" t="s">
        <v>102</v>
      </c>
      <c r="E11" s="170"/>
      <c r="F11" s="169" t="s">
        <v>103</v>
      </c>
      <c r="G11" s="170"/>
      <c r="H11" s="160" t="s">
        <v>101</v>
      </c>
      <c r="I11" s="162"/>
      <c r="J11" s="166" t="s">
        <v>102</v>
      </c>
      <c r="K11" s="167"/>
      <c r="L11" s="163" t="s">
        <v>103</v>
      </c>
      <c r="M11" s="168"/>
      <c r="N11" s="168" t="s">
        <v>101</v>
      </c>
      <c r="O11" s="168"/>
      <c r="P11" s="82" t="s">
        <v>102</v>
      </c>
      <c r="Q11" s="82" t="s">
        <v>103</v>
      </c>
      <c r="R11" s="82" t="s">
        <v>106</v>
      </c>
      <c r="S11" s="154" t="s">
        <v>101</v>
      </c>
      <c r="T11" s="155"/>
      <c r="U11" s="86" t="s">
        <v>7</v>
      </c>
      <c r="V11" s="136" t="s">
        <v>179</v>
      </c>
      <c r="W11" s="136" t="s">
        <v>181</v>
      </c>
      <c r="X11" s="136" t="s">
        <v>173</v>
      </c>
      <c r="Y11" s="136" t="s">
        <v>176</v>
      </c>
      <c r="Z11" s="2"/>
      <c r="AA11" s="153" t="s">
        <v>102</v>
      </c>
      <c r="AB11" s="153"/>
      <c r="AC11" s="153"/>
      <c r="AD11" s="153"/>
      <c r="AF11" s="153" t="s">
        <v>103</v>
      </c>
      <c r="AG11" s="153"/>
      <c r="AH11" s="153"/>
      <c r="AI11" s="153"/>
    </row>
    <row r="12" spans="2:35" ht="12.75">
      <c r="B12" s="5" t="s">
        <v>3</v>
      </c>
      <c r="C12" s="5" t="s">
        <v>78</v>
      </c>
      <c r="D12" s="83" t="s">
        <v>62</v>
      </c>
      <c r="E12" s="83" t="s">
        <v>6</v>
      </c>
      <c r="F12" s="83" t="s">
        <v>5</v>
      </c>
      <c r="G12" s="83" t="s">
        <v>6</v>
      </c>
      <c r="H12" s="84" t="s">
        <v>100</v>
      </c>
      <c r="I12" s="84" t="s">
        <v>6</v>
      </c>
      <c r="J12" s="79" t="s">
        <v>62</v>
      </c>
      <c r="K12" s="79" t="s">
        <v>6</v>
      </c>
      <c r="L12" s="80" t="s">
        <v>5</v>
      </c>
      <c r="M12" s="80" t="s">
        <v>6</v>
      </c>
      <c r="N12" s="78" t="s">
        <v>100</v>
      </c>
      <c r="O12" s="79" t="s">
        <v>6</v>
      </c>
      <c r="P12" s="82" t="s">
        <v>62</v>
      </c>
      <c r="Q12" s="82" t="s">
        <v>5</v>
      </c>
      <c r="R12" s="81" t="s">
        <v>10</v>
      </c>
      <c r="S12" s="82" t="s">
        <v>100</v>
      </c>
      <c r="T12" s="85" t="s">
        <v>105</v>
      </c>
      <c r="U12" s="81" t="s">
        <v>6</v>
      </c>
      <c r="V12" s="137" t="s">
        <v>111</v>
      </c>
      <c r="W12" s="137" t="s">
        <v>171</v>
      </c>
      <c r="X12" s="137" t="s">
        <v>174</v>
      </c>
      <c r="Y12" s="137" t="s">
        <v>171</v>
      </c>
      <c r="Z12" s="151"/>
      <c r="AA12" s="117" t="s">
        <v>87</v>
      </c>
      <c r="AB12" s="117" t="s">
        <v>160</v>
      </c>
      <c r="AC12" s="117" t="s">
        <v>163</v>
      </c>
      <c r="AD12" s="117" t="s">
        <v>164</v>
      </c>
      <c r="AF12" s="117" t="s">
        <v>161</v>
      </c>
      <c r="AG12" s="117" t="s">
        <v>162</v>
      </c>
      <c r="AH12" s="117" t="s">
        <v>163</v>
      </c>
      <c r="AI12" s="117" t="s">
        <v>164</v>
      </c>
    </row>
    <row r="13" spans="1:35" ht="12.75">
      <c r="A13" s="3">
        <v>1</v>
      </c>
      <c r="B13" t="s">
        <v>12</v>
      </c>
      <c r="C13" s="58">
        <v>3</v>
      </c>
      <c r="D13" s="47">
        <f>'Generic Energy Calcs R'!$L$29</f>
        <v>1169.46</v>
      </c>
      <c r="E13" s="62">
        <f>'Generic Energy Calcs R'!$Q$29</f>
        <v>1169.46</v>
      </c>
      <c r="F13" s="68"/>
      <c r="G13" s="65"/>
      <c r="H13" s="49"/>
      <c r="I13" s="65"/>
      <c r="J13" s="68">
        <f>'Generic Energy Calcs R'!$L$30</f>
        <v>805.9200000000001</v>
      </c>
      <c r="K13" s="48">
        <f>'Generic Energy Calcs R'!$Q$30</f>
        <v>805.9200000000001</v>
      </c>
      <c r="L13" s="58"/>
      <c r="M13" s="65"/>
      <c r="N13" s="50"/>
      <c r="O13" s="65"/>
      <c r="P13" s="172">
        <f>(IF(D13,D13-J13,0))</f>
        <v>363.53999999999996</v>
      </c>
      <c r="Q13" s="49">
        <f>(IF(F13,F13-L13,0))</f>
        <v>0</v>
      </c>
      <c r="R13" s="73">
        <f>IF(D13,(D13-J13)/D13,(F13-L13)/F13)</f>
        <v>0.31086142322097376</v>
      </c>
      <c r="S13" s="76">
        <f>(IF(H13,H13-N13,0))</f>
        <v>0</v>
      </c>
      <c r="T13" s="66">
        <f>IF(I13,(I13-O13)/I13,0)</f>
        <v>0</v>
      </c>
      <c r="U13" s="65">
        <f aca="true" t="shared" si="0" ref="U13:U25">C13*((IF(E13,E13-K13,G13-M13))+T13)</f>
        <v>1090.62</v>
      </c>
      <c r="V13" s="52">
        <f>'Generic Energy Calcs R'!$R$31</f>
        <v>1100</v>
      </c>
      <c r="W13" s="52">
        <f>V13*C13</f>
        <v>3300</v>
      </c>
      <c r="X13" s="133">
        <f>'Generic Energy Calcs R'!$R$31/'Generic Energy Calcs R'!$Q$31</f>
        <v>3.0258018374869344</v>
      </c>
      <c r="Y13" s="52">
        <f>('Generic Energy Calcs R'!$S$31-$X$13)*$U$13</f>
        <v>7606.199999999999</v>
      </c>
      <c r="Z13" s="14"/>
      <c r="AA13" s="116">
        <f>D13*C13</f>
        <v>3508.38</v>
      </c>
      <c r="AB13">
        <f>J13*C13</f>
        <v>2417.76</v>
      </c>
      <c r="AC13" s="19">
        <f>AA13-AB13</f>
        <v>1090.62</v>
      </c>
      <c r="AD13" s="118">
        <f>AC13/AA13</f>
        <v>0.31086142322097376</v>
      </c>
      <c r="AF13">
        <f aca="true" t="shared" si="1" ref="AF13:AF37">F13*C13</f>
        <v>0</v>
      </c>
      <c r="AG13">
        <f aca="true" t="shared" si="2" ref="AG13:AG37">L13*C13</f>
        <v>0</v>
      </c>
      <c r="AH13" s="19">
        <f>AF13-AG13</f>
        <v>0</v>
      </c>
      <c r="AI13" s="118" t="e">
        <f>AH13/AF13</f>
        <v>#DIV/0!</v>
      </c>
    </row>
    <row r="14" spans="1:35" ht="12.75">
      <c r="A14">
        <v>2</v>
      </c>
      <c r="B14" s="10" t="s">
        <v>13</v>
      </c>
      <c r="C14" s="59">
        <v>1</v>
      </c>
      <c r="D14" s="55">
        <f>'Generic Energy Calcs R'!$L$34</f>
        <v>3539.0400000000004</v>
      </c>
      <c r="E14" s="63">
        <f>'Generic Energy Calcs R'!$Q$34</f>
        <v>3539.0400000000004</v>
      </c>
      <c r="F14" s="69"/>
      <c r="G14" s="66"/>
      <c r="H14" s="53"/>
      <c r="I14" s="66"/>
      <c r="J14" s="69">
        <f>'Generic Energy Calcs R'!$L$35</f>
        <v>2882.0400000000004</v>
      </c>
      <c r="K14" s="52">
        <f>'Generic Energy Calcs R'!$Q$35</f>
        <v>2882.0400000000004</v>
      </c>
      <c r="L14" s="60"/>
      <c r="M14" s="66"/>
      <c r="N14" s="54"/>
      <c r="O14" s="66"/>
      <c r="P14" s="71">
        <f>(IF(D14,D14-J14,0))</f>
        <v>657</v>
      </c>
      <c r="Q14" s="53">
        <f>(IF(F14,F14-L14,0))</f>
        <v>0</v>
      </c>
      <c r="R14" s="73">
        <f aca="true" t="shared" si="3" ref="R14:R35">IF(D14,(D14-J14)/D14,(F14-L14)/F14)</f>
        <v>0.18564356435643561</v>
      </c>
      <c r="S14" s="75">
        <f>(IF(H14,H14-N14,0))</f>
        <v>0</v>
      </c>
      <c r="T14" s="66">
        <f>IF(I14,(I14-O14)/I14,0)</f>
        <v>0</v>
      </c>
      <c r="U14" s="66">
        <f t="shared" si="0"/>
        <v>657</v>
      </c>
      <c r="V14" s="52">
        <f>'Generic Energy Calcs R'!$R$36</f>
        <v>200</v>
      </c>
      <c r="W14" s="52">
        <f aca="true" t="shared" si="4" ref="W14:W35">V14*C14</f>
        <v>200</v>
      </c>
      <c r="X14" s="133">
        <f>'Generic Energy Calcs R'!$R$36/'Generic Energy Calcs R'!$Q$36</f>
        <v>0.30441400304414</v>
      </c>
      <c r="Y14" s="52">
        <f>('Generic Energy Calcs R'!$S$36-Restaurant!$X$14)*$U$14</f>
        <v>6370</v>
      </c>
      <c r="Z14" s="14"/>
      <c r="AA14" s="116">
        <f aca="true" t="shared" si="5" ref="AA14:AA37">D14*C14</f>
        <v>3539.0400000000004</v>
      </c>
      <c r="AB14">
        <f aca="true" t="shared" si="6" ref="AB14:AB37">J14*C14</f>
        <v>2882.0400000000004</v>
      </c>
      <c r="AC14" s="19">
        <f aca="true" t="shared" si="7" ref="AC14:AC37">AA14-AB14</f>
        <v>657</v>
      </c>
      <c r="AD14" s="118">
        <f aca="true" t="shared" si="8" ref="AD14:AD37">AC14/AA14</f>
        <v>0.18564356435643561</v>
      </c>
      <c r="AF14">
        <f t="shared" si="1"/>
        <v>0</v>
      </c>
      <c r="AG14">
        <f t="shared" si="2"/>
        <v>0</v>
      </c>
      <c r="AH14" s="19">
        <f aca="true" t="shared" si="9" ref="AH14:AH37">AF14-AG14</f>
        <v>0</v>
      </c>
      <c r="AI14" s="118" t="e">
        <f aca="true" t="shared" si="10" ref="AI14:AI37">AH14/AF14</f>
        <v>#DIV/0!</v>
      </c>
    </row>
    <row r="15" spans="1:35" ht="12.75">
      <c r="A15">
        <v>3</v>
      </c>
      <c r="B15" t="s">
        <v>11</v>
      </c>
      <c r="C15" s="60">
        <v>1</v>
      </c>
      <c r="D15" s="55">
        <f>'Generic Energy Calcs R'!$L$41</f>
        <v>1116.9</v>
      </c>
      <c r="E15" s="63">
        <f>'Generic Energy Calcs R'!$Q$41</f>
        <v>1116.9</v>
      </c>
      <c r="F15" s="69"/>
      <c r="G15" s="66"/>
      <c r="H15" s="53"/>
      <c r="I15" s="66"/>
      <c r="J15" s="69">
        <f>'Generic Energy Calcs R'!$L$42</f>
        <v>1055.58</v>
      </c>
      <c r="K15" s="52">
        <f>'Generic Energy Calcs R'!$Q$42</f>
        <v>1055.58</v>
      </c>
      <c r="L15" s="60"/>
      <c r="M15" s="66"/>
      <c r="N15" s="54"/>
      <c r="O15" s="66"/>
      <c r="P15" s="71">
        <f>(IF(D15,D15-J15,0))</f>
        <v>61.320000000000164</v>
      </c>
      <c r="Q15" s="53">
        <f>(IF(F15,F15-L15,0))</f>
        <v>0</v>
      </c>
      <c r="R15" s="73">
        <f t="shared" si="3"/>
        <v>0.05490196078431387</v>
      </c>
      <c r="S15" s="75">
        <f>(IF(H15,H15-N15,0))</f>
        <v>0</v>
      </c>
      <c r="T15" s="66">
        <f>IF(I15,(I15-O15)/I15,0)</f>
        <v>0</v>
      </c>
      <c r="U15" s="66">
        <f t="shared" si="0"/>
        <v>61.320000000000164</v>
      </c>
      <c r="V15" s="52">
        <f>'Generic Energy Calcs R'!$R$43</f>
        <v>1165</v>
      </c>
      <c r="W15" s="52">
        <f t="shared" si="4"/>
        <v>1165</v>
      </c>
      <c r="X15" s="138" t="s">
        <v>177</v>
      </c>
      <c r="Y15" s="139" t="s">
        <v>177</v>
      </c>
      <c r="Z15" s="14"/>
      <c r="AA15" s="116">
        <f t="shared" si="5"/>
        <v>1116.9</v>
      </c>
      <c r="AB15">
        <f t="shared" si="6"/>
        <v>1055.58</v>
      </c>
      <c r="AC15" s="19">
        <f t="shared" si="7"/>
        <v>61.320000000000164</v>
      </c>
      <c r="AD15" s="118">
        <f t="shared" si="8"/>
        <v>0.05490196078431387</v>
      </c>
      <c r="AF15">
        <f t="shared" si="1"/>
        <v>0</v>
      </c>
      <c r="AG15">
        <f t="shared" si="2"/>
        <v>0</v>
      </c>
      <c r="AH15" s="19">
        <f t="shared" si="9"/>
        <v>0</v>
      </c>
      <c r="AI15" s="118" t="e">
        <f t="shared" si="10"/>
        <v>#DIV/0!</v>
      </c>
    </row>
    <row r="16" spans="1:35" ht="12.75">
      <c r="A16">
        <v>4</v>
      </c>
      <c r="B16" s="10" t="s">
        <v>16</v>
      </c>
      <c r="C16" s="59">
        <v>1</v>
      </c>
      <c r="D16" s="55">
        <f>'Generic Energy Calcs R'!$L$47</f>
        <v>1051.2</v>
      </c>
      <c r="E16" s="63">
        <f>'Generic Energy Calcs R'!$Q$47</f>
        <v>1051.2</v>
      </c>
      <c r="F16" s="69"/>
      <c r="G16" s="66"/>
      <c r="H16" s="53"/>
      <c r="I16" s="66"/>
      <c r="J16" s="69">
        <f>'Generic Energy Calcs R'!$L$48</f>
        <v>731.46</v>
      </c>
      <c r="K16" s="52">
        <f>'Generic Energy Calcs R'!$Q$48</f>
        <v>731.46</v>
      </c>
      <c r="L16" s="60"/>
      <c r="M16" s="66"/>
      <c r="N16" s="54"/>
      <c r="O16" s="66"/>
      <c r="P16" s="71">
        <f>(IF(D16,D16-J16,0))</f>
        <v>319.74</v>
      </c>
      <c r="Q16" s="53">
        <f>(IF(F16,F16-L16,0))</f>
        <v>0</v>
      </c>
      <c r="R16" s="73">
        <f t="shared" si="3"/>
        <v>0.30416666666666664</v>
      </c>
      <c r="S16" s="75">
        <f>(IF(H16,H16-N16,0))</f>
        <v>0</v>
      </c>
      <c r="T16" s="66">
        <f>IF(I16,(I16-O16)/I16,0)</f>
        <v>0</v>
      </c>
      <c r="U16" s="66">
        <f t="shared" si="0"/>
        <v>319.74</v>
      </c>
      <c r="V16" s="52">
        <f>'Generic Energy Calcs R'!$R$49</f>
        <v>1571</v>
      </c>
      <c r="W16" s="52">
        <f t="shared" si="4"/>
        <v>1571</v>
      </c>
      <c r="X16" s="133">
        <f>'Generic Energy Calcs R'!$R$49/'Generic Energy Calcs R'!$Q$49</f>
        <v>4.913367110777506</v>
      </c>
      <c r="Y16" s="52">
        <f>('Generic Energy Calcs R'!$S$49-Restaurant!$X$16)*Restaurant!$U$16</f>
        <v>2265.88</v>
      </c>
      <c r="Z16" s="14"/>
      <c r="AA16" s="116">
        <f t="shared" si="5"/>
        <v>1051.2</v>
      </c>
      <c r="AB16">
        <f t="shared" si="6"/>
        <v>731.46</v>
      </c>
      <c r="AC16" s="19">
        <f t="shared" si="7"/>
        <v>319.74</v>
      </c>
      <c r="AD16" s="118">
        <f t="shared" si="8"/>
        <v>0.30416666666666664</v>
      </c>
      <c r="AF16">
        <f t="shared" si="1"/>
        <v>0</v>
      </c>
      <c r="AG16">
        <f t="shared" si="2"/>
        <v>0</v>
      </c>
      <c r="AH16" s="19">
        <f t="shared" si="9"/>
        <v>0</v>
      </c>
      <c r="AI16" s="118" t="e">
        <f t="shared" si="10"/>
        <v>#DIV/0!</v>
      </c>
    </row>
    <row r="17" spans="1:35" ht="12.75">
      <c r="A17">
        <v>5</v>
      </c>
      <c r="B17" s="10" t="s">
        <v>17</v>
      </c>
      <c r="C17" s="59">
        <v>1</v>
      </c>
      <c r="D17" s="55"/>
      <c r="E17" s="63"/>
      <c r="F17" s="69">
        <f>'Generic Energy Calcs R'!$L$115</f>
        <v>32850</v>
      </c>
      <c r="G17" s="140">
        <f>'Generic Energy Calcs R'!$N$115</f>
        <v>3285</v>
      </c>
      <c r="H17" s="53">
        <f>'Generic Energy Calcs R'!$M$115</f>
        <v>175.66844919786095</v>
      </c>
      <c r="I17" s="66">
        <f>'Generic Energy Calcs R'!$O$115+'Generic Energy Calcs R'!$P$115</f>
        <v>878.3422459893047</v>
      </c>
      <c r="J17" s="69"/>
      <c r="K17" s="52"/>
      <c r="L17" s="69">
        <f>'Generic Energy Calcs R'!$L$116</f>
        <v>20104.2</v>
      </c>
      <c r="M17" s="140">
        <f>'Generic Energy Calcs R'!$N$116</f>
        <v>2010.42</v>
      </c>
      <c r="N17" s="54">
        <f>'Generic Energy Calcs R'!$M$116</f>
        <v>117.11229946524064</v>
      </c>
      <c r="O17" s="66">
        <f>'Generic Energy Calcs R'!$O$116+'Generic Energy Calcs R'!$P$116</f>
        <v>585.5614973262032</v>
      </c>
      <c r="P17" s="71">
        <f>(IF(D17,D17-J17,0))</f>
        <v>0</v>
      </c>
      <c r="Q17" s="53">
        <f>(IF(F17,F17-L17,0))</f>
        <v>12745.8</v>
      </c>
      <c r="R17" s="73">
        <f>IF(D17,(D17-J17)/D17,(F17-L17)/F17)</f>
        <v>0.38799999999999996</v>
      </c>
      <c r="S17" s="75">
        <f>(IF(H17,H17-N17,0))</f>
        <v>58.55614973262031</v>
      </c>
      <c r="T17" s="66">
        <f>IF(I17,I17-O17,0)</f>
        <v>292.7807486631016</v>
      </c>
      <c r="U17" s="140">
        <f t="shared" si="0"/>
        <v>1567.3607486631015</v>
      </c>
      <c r="V17" s="52">
        <f>'Generic Energy Calcs R'!$R$117</f>
        <v>8442</v>
      </c>
      <c r="W17" s="52">
        <f t="shared" si="4"/>
        <v>8442</v>
      </c>
      <c r="X17" s="133">
        <f>'Generic Energy Calcs R'!$R$117/'Generic Energy Calcs R'!$Q$117</f>
        <v>5.3861244178793575</v>
      </c>
      <c r="Y17" s="143">
        <f>('Generic Energy Calcs R'!$S$117-Restaurant!$X$17)*Restaurant!$U$17</f>
        <v>7231.607486631014</v>
      </c>
      <c r="Z17" s="14"/>
      <c r="AA17" s="116">
        <f t="shared" si="5"/>
        <v>0</v>
      </c>
      <c r="AB17">
        <f t="shared" si="6"/>
        <v>0</v>
      </c>
      <c r="AC17" s="19">
        <f t="shared" si="7"/>
        <v>0</v>
      </c>
      <c r="AD17" s="118" t="e">
        <f t="shared" si="8"/>
        <v>#DIV/0!</v>
      </c>
      <c r="AF17">
        <f t="shared" si="1"/>
        <v>32850</v>
      </c>
      <c r="AG17">
        <f t="shared" si="2"/>
        <v>20104.2</v>
      </c>
      <c r="AH17" s="19">
        <f t="shared" si="9"/>
        <v>12745.8</v>
      </c>
      <c r="AI17" s="118">
        <f t="shared" si="10"/>
        <v>0.38799999999999996</v>
      </c>
    </row>
    <row r="18" spans="1:35" ht="12.75">
      <c r="A18" s="3">
        <v>6</v>
      </c>
      <c r="B18" s="10" t="s">
        <v>15</v>
      </c>
      <c r="C18" s="59">
        <v>2</v>
      </c>
      <c r="D18" s="55"/>
      <c r="E18" s="63"/>
      <c r="F18" s="56">
        <f>'Generic Energy Calcs R'!$L$23</f>
        <v>15286.2</v>
      </c>
      <c r="G18" s="140">
        <f>'Generic Energy Calcs R'!$N$23</f>
        <v>1528.6200000000001</v>
      </c>
      <c r="H18" s="53">
        <f>'Generic Energy Calcs R'!$M$23</f>
        <v>234.22459893048128</v>
      </c>
      <c r="I18" s="66">
        <f>'Generic Energy Calcs R'!$O$23+'Generic Energy Calcs R'!$P$23</f>
        <v>1171.1229946524063</v>
      </c>
      <c r="J18" s="69"/>
      <c r="K18" s="52"/>
      <c r="L18" s="69">
        <f>'Generic Energy Calcs R'!$L$24</f>
        <v>4204.8</v>
      </c>
      <c r="M18" s="140">
        <f>'Generic Energy Calcs R'!$N$24</f>
        <v>420.48</v>
      </c>
      <c r="N18" s="54">
        <f>'Generic Energy Calcs R'!$M$24</f>
        <v>17.566844919786096</v>
      </c>
      <c r="O18" s="66">
        <f>'Generic Energy Calcs R'!$O$24+'Generic Energy Calcs R'!$P$24</f>
        <v>87.83422459893049</v>
      </c>
      <c r="P18" s="71">
        <f>(IF(D18,D18-J18,0))</f>
        <v>0</v>
      </c>
      <c r="Q18" s="53">
        <f>(IF(F18,F18-L18,0))</f>
        <v>11081.400000000001</v>
      </c>
      <c r="R18" s="73">
        <f t="shared" si="3"/>
        <v>0.7249283667621778</v>
      </c>
      <c r="S18" s="75">
        <f aca="true" t="shared" si="11" ref="S18:S37">IF(H18,H18-N18,0)</f>
        <v>216.6577540106952</v>
      </c>
      <c r="T18" s="66">
        <f aca="true" t="shared" si="12" ref="T18:T37">IF(I18,I18-O18,0)</f>
        <v>1083.288770053476</v>
      </c>
      <c r="U18" s="140">
        <f t="shared" si="0"/>
        <v>4382.857540106952</v>
      </c>
      <c r="V18" s="52">
        <f>'Generic Energy Calcs R'!$R$25</f>
        <v>2075</v>
      </c>
      <c r="W18" s="52">
        <f t="shared" si="4"/>
        <v>4150</v>
      </c>
      <c r="X18" s="133">
        <f>'Generic Energy Calcs R'!$R$25/'Generic Energy Calcs R'!$Q$25</f>
        <v>0.9468708398627829</v>
      </c>
      <c r="Y18" s="143">
        <f>('Generic Energy Calcs R'!$S$25-Restaurant!$X$18)*Restaurant!$U$18</f>
        <v>22147.145240641712</v>
      </c>
      <c r="Z18" s="14"/>
      <c r="AA18" s="116">
        <f t="shared" si="5"/>
        <v>0</v>
      </c>
      <c r="AB18">
        <f t="shared" si="6"/>
        <v>0</v>
      </c>
      <c r="AC18" s="19">
        <f t="shared" si="7"/>
        <v>0</v>
      </c>
      <c r="AD18" s="118" t="e">
        <f t="shared" si="8"/>
        <v>#DIV/0!</v>
      </c>
      <c r="AF18">
        <f t="shared" si="1"/>
        <v>30572.4</v>
      </c>
      <c r="AG18">
        <f t="shared" si="2"/>
        <v>8409.6</v>
      </c>
      <c r="AH18" s="19">
        <f t="shared" si="9"/>
        <v>22162.800000000003</v>
      </c>
      <c r="AI18" s="118">
        <f t="shared" si="10"/>
        <v>0.7249283667621778</v>
      </c>
    </row>
    <row r="19" spans="1:35" ht="12.75">
      <c r="A19">
        <v>7</v>
      </c>
      <c r="B19" s="10" t="s">
        <v>20</v>
      </c>
      <c r="C19" s="59">
        <v>2</v>
      </c>
      <c r="D19" s="55"/>
      <c r="E19" s="63"/>
      <c r="F19" s="69">
        <f>'Generic Energy Calcs R'!$L$109</f>
        <v>7665</v>
      </c>
      <c r="G19" s="66">
        <f>'Generic Energy Calcs R'!$N$109</f>
        <v>766.5</v>
      </c>
      <c r="H19" s="53"/>
      <c r="I19" s="66"/>
      <c r="J19" s="69"/>
      <c r="K19" s="52"/>
      <c r="L19" s="69">
        <f>'Generic Energy Calcs R'!$L$110</f>
        <v>4380</v>
      </c>
      <c r="M19" s="66">
        <f>'Generic Energy Calcs R'!$Q$110</f>
        <v>438</v>
      </c>
      <c r="N19" s="54"/>
      <c r="O19" s="66"/>
      <c r="P19" s="71">
        <f>(IF(D19,D19-J19,0))</f>
        <v>0</v>
      </c>
      <c r="Q19" s="142">
        <f>(IF(F19,F19-L19,0))</f>
        <v>3285</v>
      </c>
      <c r="R19" s="73">
        <f t="shared" si="3"/>
        <v>0.42857142857142855</v>
      </c>
      <c r="S19" s="75">
        <f t="shared" si="11"/>
        <v>0</v>
      </c>
      <c r="T19" s="66">
        <f t="shared" si="12"/>
        <v>0</v>
      </c>
      <c r="U19" s="66">
        <f t="shared" si="0"/>
        <v>657</v>
      </c>
      <c r="V19" s="52">
        <f>'Generic Energy Calcs R'!$R$111</f>
        <v>1576</v>
      </c>
      <c r="W19" s="52">
        <f t="shared" si="4"/>
        <v>3152</v>
      </c>
      <c r="X19" s="133">
        <f>'Generic Energy Calcs R'!$R$111/'Generic Energy Calcs R'!$Q$111</f>
        <v>4.797564687975647</v>
      </c>
      <c r="Y19" s="52">
        <f>('Generic Energy Calcs R'!$S$111-Restaurant!$X$19)*Restaurant!$U$19</f>
        <v>4732</v>
      </c>
      <c r="Z19" s="14"/>
      <c r="AA19" s="116">
        <f t="shared" si="5"/>
        <v>0</v>
      </c>
      <c r="AB19">
        <f t="shared" si="6"/>
        <v>0</v>
      </c>
      <c r="AC19" s="19">
        <f t="shared" si="7"/>
        <v>0</v>
      </c>
      <c r="AD19" s="118" t="e">
        <f t="shared" si="8"/>
        <v>#DIV/0!</v>
      </c>
      <c r="AF19">
        <f t="shared" si="1"/>
        <v>15330</v>
      </c>
      <c r="AG19">
        <f t="shared" si="2"/>
        <v>8760</v>
      </c>
      <c r="AH19" s="19">
        <f t="shared" si="9"/>
        <v>6570</v>
      </c>
      <c r="AI19" s="118">
        <f t="shared" si="10"/>
        <v>0.42857142857142855</v>
      </c>
    </row>
    <row r="20" spans="1:35" ht="12.75">
      <c r="A20">
        <v>8</v>
      </c>
      <c r="B20" s="10" t="s">
        <v>74</v>
      </c>
      <c r="C20" s="59">
        <v>1</v>
      </c>
      <c r="D20" s="55"/>
      <c r="E20" s="63"/>
      <c r="F20" s="69">
        <f>'Generic Energy Calcs R'!$L$83</f>
        <v>2102.4</v>
      </c>
      <c r="G20" s="66">
        <f>'Generic Energy Calcs R'!$N$83</f>
        <v>210.24</v>
      </c>
      <c r="H20" s="53"/>
      <c r="I20" s="66"/>
      <c r="J20" s="69"/>
      <c r="K20" s="52"/>
      <c r="L20" s="60">
        <f>'Generic Energy Calcs R'!$L$84</f>
        <v>970.9000000000001</v>
      </c>
      <c r="M20" s="66">
        <f>'Generic Energy Calcs R'!$Q$84</f>
        <v>97.09000000000002</v>
      </c>
      <c r="N20" s="54"/>
      <c r="O20" s="66"/>
      <c r="P20" s="71">
        <f>(IF(D20,D20-J20,0))</f>
        <v>0</v>
      </c>
      <c r="Q20" s="53">
        <f>(IF(F20,F20-L20,0))</f>
        <v>1131.5</v>
      </c>
      <c r="R20" s="73">
        <f t="shared" si="3"/>
        <v>0.5381944444444444</v>
      </c>
      <c r="S20" s="75">
        <f t="shared" si="11"/>
        <v>0</v>
      </c>
      <c r="T20" s="66">
        <f t="shared" si="12"/>
        <v>0</v>
      </c>
      <c r="U20" s="66">
        <f t="shared" si="0"/>
        <v>113.14999999999999</v>
      </c>
      <c r="V20" s="143">
        <f>'Generic Energy Calcs R'!$R$85</f>
        <v>1149</v>
      </c>
      <c r="W20" s="52">
        <f t="shared" si="4"/>
        <v>1149</v>
      </c>
      <c r="X20" s="133">
        <f>'Generic Energy Calcs R'!$R$85/'Generic Energy Calcs R'!$Q$85</f>
        <v>10.154661953159524</v>
      </c>
      <c r="Y20" s="52">
        <f>('Generic Energy Calcs R'!$S$85-Restaurant!$X$20)*Restaurant!U20</f>
        <v>208.79999999999987</v>
      </c>
      <c r="Z20" s="14"/>
      <c r="AA20" s="116">
        <f t="shared" si="5"/>
        <v>0</v>
      </c>
      <c r="AB20">
        <f t="shared" si="6"/>
        <v>0</v>
      </c>
      <c r="AC20" s="19">
        <f t="shared" si="7"/>
        <v>0</v>
      </c>
      <c r="AD20" s="118" t="e">
        <f t="shared" si="8"/>
        <v>#DIV/0!</v>
      </c>
      <c r="AF20">
        <f t="shared" si="1"/>
        <v>2102.4</v>
      </c>
      <c r="AG20">
        <f t="shared" si="2"/>
        <v>970.9000000000001</v>
      </c>
      <c r="AH20" s="19">
        <f t="shared" si="9"/>
        <v>1131.5</v>
      </c>
      <c r="AI20" s="118">
        <f t="shared" si="10"/>
        <v>0.5381944444444444</v>
      </c>
    </row>
    <row r="21" spans="1:35" ht="12.75">
      <c r="A21">
        <v>9</v>
      </c>
      <c r="B21" s="10" t="s">
        <v>75</v>
      </c>
      <c r="C21" s="59">
        <v>1</v>
      </c>
      <c r="D21" s="55"/>
      <c r="E21" s="63"/>
      <c r="F21" s="69">
        <f>'Generic Energy Calcs R'!$L$89</f>
        <v>4318.679999999999</v>
      </c>
      <c r="G21" s="66">
        <f>'Generic Energy Calcs R'!$N$89</f>
        <v>431.86799999999994</v>
      </c>
      <c r="H21" s="53"/>
      <c r="I21" s="66"/>
      <c r="J21" s="69"/>
      <c r="K21" s="52"/>
      <c r="L21" s="60">
        <f>'Generic Energy Calcs R'!$L$90</f>
        <v>2806.8500000000004</v>
      </c>
      <c r="M21" s="66">
        <f>'Generic Energy Calcs R'!$Q$90</f>
        <v>280.68500000000006</v>
      </c>
      <c r="N21" s="54"/>
      <c r="O21" s="66"/>
      <c r="P21" s="71">
        <f>(IF(D21,D21-J21,0))</f>
        <v>0</v>
      </c>
      <c r="Q21" s="53">
        <f>(IF(F21,F21-L21,0))</f>
        <v>1511.829999999999</v>
      </c>
      <c r="R21" s="73">
        <f t="shared" si="3"/>
        <v>0.35006761325219726</v>
      </c>
      <c r="S21" s="75">
        <f t="shared" si="11"/>
        <v>0</v>
      </c>
      <c r="T21" s="66">
        <f t="shared" si="12"/>
        <v>0</v>
      </c>
      <c r="U21" s="66">
        <f t="shared" si="0"/>
        <v>151.18299999999988</v>
      </c>
      <c r="V21" s="143">
        <f>'Generic Energy Calcs R'!$R$91</f>
        <v>533</v>
      </c>
      <c r="W21" s="52">
        <f t="shared" si="4"/>
        <v>533</v>
      </c>
      <c r="X21" s="133">
        <f>'Generic Energy Calcs R'!$R$91/'Generic Energy Calcs R'!$Q$91</f>
        <v>3.5255286639370857</v>
      </c>
      <c r="Y21" s="52">
        <f>('Generic Energy Calcs R'!$S$91-Restaurant!$X$21)*Restaurant!$U$21</f>
        <v>1281.1959999999985</v>
      </c>
      <c r="Z21" s="14"/>
      <c r="AA21" s="116">
        <f t="shared" si="5"/>
        <v>0</v>
      </c>
      <c r="AB21">
        <f t="shared" si="6"/>
        <v>0</v>
      </c>
      <c r="AC21" s="19">
        <f t="shared" si="7"/>
        <v>0</v>
      </c>
      <c r="AD21" s="118" t="e">
        <f t="shared" si="8"/>
        <v>#DIV/0!</v>
      </c>
      <c r="AF21">
        <f t="shared" si="1"/>
        <v>4318.679999999999</v>
      </c>
      <c r="AG21">
        <f t="shared" si="2"/>
        <v>2806.8500000000004</v>
      </c>
      <c r="AH21" s="19">
        <f t="shared" si="9"/>
        <v>1511.829999999999</v>
      </c>
      <c r="AI21" s="118">
        <f t="shared" si="10"/>
        <v>0.35006761325219726</v>
      </c>
    </row>
    <row r="22" spans="1:35" ht="12.75">
      <c r="A22">
        <v>10</v>
      </c>
      <c r="B22" s="10" t="s">
        <v>76</v>
      </c>
      <c r="C22" s="59">
        <v>0</v>
      </c>
      <c r="D22" s="55"/>
      <c r="E22" s="63"/>
      <c r="F22" s="69">
        <f>'Generic Energy Calcs R'!$L$77</f>
        <v>3247.77</v>
      </c>
      <c r="G22" s="66">
        <f>'Generic Energy Calcs R'!$N$77</f>
        <v>324.77700000000004</v>
      </c>
      <c r="H22" s="53"/>
      <c r="I22" s="66"/>
      <c r="J22" s="69"/>
      <c r="K22" s="52"/>
      <c r="L22" s="60">
        <f>'Generic Energy Calcs R'!$L$78</f>
        <v>1625.7100000000003</v>
      </c>
      <c r="M22" s="66">
        <f>'Generic Energy Calcs R'!$Q$78</f>
        <v>162.57100000000003</v>
      </c>
      <c r="N22" s="54"/>
      <c r="O22" s="66"/>
      <c r="P22" s="71">
        <f>(IF(D22,D22-J22,0))</f>
        <v>0</v>
      </c>
      <c r="Q22" s="53">
        <f>(IF(F22,F22-L22,0))</f>
        <v>1622.0599999999997</v>
      </c>
      <c r="R22" s="73">
        <f t="shared" si="3"/>
        <v>0.49943807597212847</v>
      </c>
      <c r="S22" s="75">
        <f t="shared" si="11"/>
        <v>0</v>
      </c>
      <c r="T22" s="66">
        <f t="shared" si="12"/>
        <v>0</v>
      </c>
      <c r="U22" s="66">
        <f t="shared" si="0"/>
        <v>0</v>
      </c>
      <c r="V22" s="52"/>
      <c r="W22" s="52">
        <f t="shared" si="4"/>
        <v>0</v>
      </c>
      <c r="X22" s="133"/>
      <c r="Y22" s="52"/>
      <c r="Z22" s="14"/>
      <c r="AA22" s="116">
        <f t="shared" si="5"/>
        <v>0</v>
      </c>
      <c r="AB22">
        <f t="shared" si="6"/>
        <v>0</v>
      </c>
      <c r="AC22" s="19">
        <f t="shared" si="7"/>
        <v>0</v>
      </c>
      <c r="AD22" s="118" t="e">
        <f t="shared" si="8"/>
        <v>#DIV/0!</v>
      </c>
      <c r="AF22">
        <f t="shared" si="1"/>
        <v>0</v>
      </c>
      <c r="AG22">
        <f t="shared" si="2"/>
        <v>0</v>
      </c>
      <c r="AH22" s="19">
        <f t="shared" si="9"/>
        <v>0</v>
      </c>
      <c r="AI22" s="118" t="e">
        <f t="shared" si="10"/>
        <v>#DIV/0!</v>
      </c>
    </row>
    <row r="23" spans="1:35" ht="12.75">
      <c r="A23" s="3">
        <v>11</v>
      </c>
      <c r="B23" s="10" t="s">
        <v>77</v>
      </c>
      <c r="C23" s="59">
        <v>2</v>
      </c>
      <c r="D23" s="55"/>
      <c r="E23" s="63"/>
      <c r="F23" s="69">
        <f>'Generic Energy Calcs R'!$L$96</f>
        <v>1182.6000000000001</v>
      </c>
      <c r="G23" s="140">
        <f>'Generic Energy Calcs R'!$N$96</f>
        <v>118.26000000000002</v>
      </c>
      <c r="H23" s="53"/>
      <c r="I23" s="66"/>
      <c r="J23" s="69"/>
      <c r="K23" s="52"/>
      <c r="L23" s="60">
        <f>'Generic Energy Calcs R'!$L$97</f>
        <v>386.90000000000003</v>
      </c>
      <c r="M23" s="66">
        <f>'Generic Energy Calcs R'!$Q$97</f>
        <v>38.690000000000005</v>
      </c>
      <c r="N23" s="54"/>
      <c r="O23" s="66"/>
      <c r="P23" s="71">
        <f>(IF(D23,D23-J23,0))</f>
        <v>0</v>
      </c>
      <c r="Q23" s="142">
        <f>(IF(F23,F23-L23,0))</f>
        <v>795.7</v>
      </c>
      <c r="R23" s="73">
        <f t="shared" si="3"/>
        <v>0.6728395061728395</v>
      </c>
      <c r="S23" s="75">
        <f t="shared" si="11"/>
        <v>0</v>
      </c>
      <c r="T23" s="66">
        <f t="shared" si="12"/>
        <v>0</v>
      </c>
      <c r="U23" s="66">
        <f t="shared" si="0"/>
        <v>159.14000000000004</v>
      </c>
      <c r="V23" s="52">
        <f>'Generic Energy Calcs R'!$R$98</f>
        <v>220</v>
      </c>
      <c r="W23" s="52">
        <f t="shared" si="4"/>
        <v>440</v>
      </c>
      <c r="X23" s="133">
        <f>'Generic Energy Calcs R'!$R$98/'Generic Energy Calcs R'!$Q$98</f>
        <v>2.7648611285660416</v>
      </c>
      <c r="Y23" s="52">
        <f>('Generic Energy Calcs R'!$S$98-Restaurant!$X$23)*Restaurant!$U$23</f>
        <v>1469.6800000000005</v>
      </c>
      <c r="Z23" s="14"/>
      <c r="AA23" s="116">
        <f t="shared" si="5"/>
        <v>0</v>
      </c>
      <c r="AB23">
        <f t="shared" si="6"/>
        <v>0</v>
      </c>
      <c r="AC23" s="19">
        <f t="shared" si="7"/>
        <v>0</v>
      </c>
      <c r="AD23" s="118" t="e">
        <f t="shared" si="8"/>
        <v>#DIV/0!</v>
      </c>
      <c r="AF23">
        <f t="shared" si="1"/>
        <v>2365.2000000000003</v>
      </c>
      <c r="AG23">
        <f t="shared" si="2"/>
        <v>773.8000000000001</v>
      </c>
      <c r="AH23" s="19">
        <f t="shared" si="9"/>
        <v>1591.4</v>
      </c>
      <c r="AI23" s="118">
        <f t="shared" si="10"/>
        <v>0.6728395061728395</v>
      </c>
    </row>
    <row r="24" spans="1:35" ht="12.75">
      <c r="A24">
        <v>12</v>
      </c>
      <c r="B24" s="10" t="s">
        <v>22</v>
      </c>
      <c r="C24" s="59">
        <v>2</v>
      </c>
      <c r="D24" s="55"/>
      <c r="E24" s="63"/>
      <c r="F24" s="69">
        <f>'Generic Energy Calcs R'!$L$4</f>
        <v>30178.199999999997</v>
      </c>
      <c r="G24" s="140">
        <f>'Generic Energy Calcs R'!$N$4</f>
        <v>3017.8199999999997</v>
      </c>
      <c r="H24" s="53">
        <f>'Generic Energy Calcs R'!$M$4</f>
        <v>126.48128342245991</v>
      </c>
      <c r="I24" s="66">
        <f>'Generic Energy Calcs R'!$O$4+'Generic Energy Calcs R'!$P$4</f>
        <v>632.4064171122996</v>
      </c>
      <c r="J24" s="69"/>
      <c r="K24" s="52"/>
      <c r="L24" s="60">
        <f>'Generic Energy Calcs R'!$L$5</f>
        <v>24133.800000000003</v>
      </c>
      <c r="M24" s="140">
        <f>'Generic Energy Calcs R'!$N$5</f>
        <v>2413.3800000000006</v>
      </c>
      <c r="N24" s="54">
        <f>'Generic Energy Calcs R'!$M$5</f>
        <v>105.40106951871658</v>
      </c>
      <c r="O24" s="66">
        <f>'Generic Energy Calcs R'!$O$5+'Generic Energy Calcs R'!$P$5</f>
        <v>527.0053475935829</v>
      </c>
      <c r="P24" s="71">
        <f>(IF(D24,D24-J24,0))</f>
        <v>0</v>
      </c>
      <c r="Q24" s="142">
        <f>(IF(F24,F24-L24,0))</f>
        <v>6044.399999999994</v>
      </c>
      <c r="R24" s="73">
        <f t="shared" si="3"/>
        <v>0.2002902757619737</v>
      </c>
      <c r="S24" s="150">
        <f t="shared" si="11"/>
        <v>21.080213903743328</v>
      </c>
      <c r="T24" s="140">
        <f t="shared" si="12"/>
        <v>105.40106951871667</v>
      </c>
      <c r="U24" s="140">
        <f t="shared" si="0"/>
        <v>1419.6821390374316</v>
      </c>
      <c r="V24" s="52">
        <f>'Generic Energy Calcs R'!$R$6</f>
        <v>491</v>
      </c>
      <c r="W24" s="52">
        <f t="shared" si="4"/>
        <v>982</v>
      </c>
      <c r="X24" s="133">
        <f>'Generic Energy Calcs R'!$R$6/'Generic Energy Calcs R'!$Q$6</f>
        <v>0.6917041308034017</v>
      </c>
      <c r="Y24" s="143">
        <f>('Generic Energy Calcs R'!$S$6-Restaurant!$X$24)*Restaurant!$U$24</f>
        <v>16054.18566844918</v>
      </c>
      <c r="Z24" s="14"/>
      <c r="AA24" s="116">
        <f t="shared" si="5"/>
        <v>0</v>
      </c>
      <c r="AB24">
        <f t="shared" si="6"/>
        <v>0</v>
      </c>
      <c r="AC24" s="19">
        <f t="shared" si="7"/>
        <v>0</v>
      </c>
      <c r="AD24" s="118" t="e">
        <f t="shared" si="8"/>
        <v>#DIV/0!</v>
      </c>
      <c r="AF24">
        <f t="shared" si="1"/>
        <v>60356.399999999994</v>
      </c>
      <c r="AG24">
        <f t="shared" si="2"/>
        <v>48267.600000000006</v>
      </c>
      <c r="AH24" s="19">
        <f t="shared" si="9"/>
        <v>12088.799999999988</v>
      </c>
      <c r="AI24" s="118">
        <f t="shared" si="10"/>
        <v>0.2002902757619737</v>
      </c>
    </row>
    <row r="25" spans="1:35" ht="12.75">
      <c r="A25">
        <v>13</v>
      </c>
      <c r="B25" s="10" t="s">
        <v>21</v>
      </c>
      <c r="C25" s="59">
        <v>1</v>
      </c>
      <c r="D25" s="56">
        <f>'Generic Energy Calcs R'!$L$10</f>
        <v>1095.0875999999998</v>
      </c>
      <c r="E25" s="144">
        <f>'Generic Energy Calcs R'!$N$10</f>
        <v>1095.0875999999998</v>
      </c>
      <c r="F25" s="69"/>
      <c r="G25" s="66"/>
      <c r="H25" s="53">
        <f>'Generic Energy Calcs R'!$M$10</f>
        <v>175.66844919786095</v>
      </c>
      <c r="I25" s="66">
        <f>'Generic Energy Calcs R'!$O$10+'Generic Energy Calcs R'!$P$10</f>
        <v>878.3422459893047</v>
      </c>
      <c r="J25" s="69">
        <f>'Generic Energy Calcs R'!$L$11</f>
        <v>584.0467199999999</v>
      </c>
      <c r="K25" s="52">
        <f>'Generic Energy Calcs R'!$N$11</f>
        <v>584.0467199999999</v>
      </c>
      <c r="L25" s="60"/>
      <c r="M25" s="66"/>
      <c r="N25" s="54">
        <f>'Generic Energy Calcs R'!$M$11</f>
        <v>93.68983957219251</v>
      </c>
      <c r="O25" s="66">
        <f>'Generic Energy Calcs R'!$O$11+'Generic Energy Calcs R'!$P$11</f>
        <v>468.44919786096256</v>
      </c>
      <c r="P25" s="71">
        <f>(IF(D25,D25-J25,0))</f>
        <v>511.0408799999999</v>
      </c>
      <c r="Q25" s="53">
        <f>(IF(F25,F25-L25,0))</f>
        <v>0</v>
      </c>
      <c r="R25" s="73">
        <f t="shared" si="3"/>
        <v>0.4666666666666666</v>
      </c>
      <c r="S25" s="75">
        <f t="shared" si="11"/>
        <v>81.97860962566844</v>
      </c>
      <c r="T25" s="66">
        <f t="shared" si="12"/>
        <v>409.8930481283422</v>
      </c>
      <c r="U25" s="140">
        <f t="shared" si="0"/>
        <v>920.9339281283421</v>
      </c>
      <c r="V25" s="52">
        <f>'Generic Energy Calcs R'!$R$12</f>
        <v>10</v>
      </c>
      <c r="W25" s="52">
        <f t="shared" si="4"/>
        <v>10</v>
      </c>
      <c r="X25" s="24">
        <f>'Generic Energy Calcs R'!$R$12/'Generic Energy Calcs R'!$Q$12</f>
        <v>0.010858542284703829</v>
      </c>
      <c r="Y25" s="152">
        <f>('Generic Energy Calcs R'!$S$12-Restaurant!$X$25)*Restaurant!$U$25</f>
        <v>7357.471425026737</v>
      </c>
      <c r="Z25" s="14"/>
      <c r="AA25" s="116">
        <f t="shared" si="5"/>
        <v>1095.0875999999998</v>
      </c>
      <c r="AB25">
        <f t="shared" si="6"/>
        <v>584.0467199999999</v>
      </c>
      <c r="AC25" s="19">
        <f t="shared" si="7"/>
        <v>511.0408799999999</v>
      </c>
      <c r="AD25" s="118">
        <f t="shared" si="8"/>
        <v>0.4666666666666666</v>
      </c>
      <c r="AF25">
        <f t="shared" si="1"/>
        <v>0</v>
      </c>
      <c r="AG25">
        <f t="shared" si="2"/>
        <v>0</v>
      </c>
      <c r="AH25" s="19">
        <f t="shared" si="9"/>
        <v>0</v>
      </c>
      <c r="AI25" s="118" t="e">
        <f t="shared" si="10"/>
        <v>#DIV/0!</v>
      </c>
    </row>
    <row r="26" spans="1:35" ht="12.75">
      <c r="A26" s="3">
        <v>14</v>
      </c>
      <c r="B26" s="10" t="s">
        <v>140</v>
      </c>
      <c r="C26" s="59">
        <v>1</v>
      </c>
      <c r="D26" s="146">
        <f>'Generic Energy Calcs R'!$K$16</f>
        <v>4.50036</v>
      </c>
      <c r="E26" s="144">
        <f>'Generic Energy Calcs R'!$M$2*'Generic Energy Calcs R'!K16</f>
        <v>4.50036</v>
      </c>
      <c r="F26" s="141">
        <f>'Generic Energy Calcs R'!$L$16</f>
        <v>63352.95183663084</v>
      </c>
      <c r="G26" s="140">
        <f>'Generic Energy Calcs R'!$N$2*Restaurant!F26</f>
        <v>6335.295183663085</v>
      </c>
      <c r="H26" s="142">
        <f>'Generic Energy Calcs R'!$M$16</f>
        <v>263.50267379679144</v>
      </c>
      <c r="I26" s="140">
        <f>'Generic Energy Calcs R'!$O$16+'Generic Energy Calcs R'!$P$16</f>
        <v>1317.5133689839572</v>
      </c>
      <c r="J26" s="141">
        <f>'Generic Energy Calcs R'!$K$17</f>
        <v>3.00024</v>
      </c>
      <c r="K26" s="147">
        <f>'Generic Energy Calcs R'!$M$2*Restaurant!J26</f>
        <v>3.00024</v>
      </c>
      <c r="L26" s="141">
        <f>'Generic Energy Calcs R'!$L$17</f>
        <v>55503.05122442056</v>
      </c>
      <c r="M26" s="140">
        <f>'Generic Energy Calcs R'!N2*Restaurant!L26</f>
        <v>5550.305122442056</v>
      </c>
      <c r="N26" s="148">
        <f>'Generic Energy Calcs R'!$M$17</f>
        <v>175.66844919786095</v>
      </c>
      <c r="O26" s="140">
        <f>'Generic Energy Calcs R'!$O$17+'Generic Energy Calcs R'!$P$17</f>
        <v>878.3422459893047</v>
      </c>
      <c r="P26" s="149">
        <f>(IF(D26,D26-J26,0))</f>
        <v>1.50012</v>
      </c>
      <c r="Q26" s="142">
        <f>(IF(F26,F26-L26,0))</f>
        <v>7849.90061221028</v>
      </c>
      <c r="R26" s="145">
        <f>(D26-J26)/D26+(((F26-L26)/F26)*0.03413)</f>
        <v>0.3375622934705913</v>
      </c>
      <c r="S26" s="150">
        <f t="shared" si="11"/>
        <v>87.83422459893049</v>
      </c>
      <c r="T26" s="140">
        <f t="shared" si="12"/>
        <v>439.1711229946525</v>
      </c>
      <c r="U26" s="140">
        <f>C26*((E26-K26+G26-M26)+T26)</f>
        <v>1225.6613042156807</v>
      </c>
      <c r="V26" s="52">
        <f>'Generic Energy Calcs R'!$R$18</f>
        <v>680</v>
      </c>
      <c r="W26" s="52">
        <f t="shared" si="4"/>
        <v>680</v>
      </c>
      <c r="X26" s="133">
        <f>'Generic Energy Calcs R'!$R$18/'Generic Energy Calcs R'!$Q$18</f>
        <v>0.5548025361175467</v>
      </c>
      <c r="Y26" s="143">
        <f>('Generic Energy Calcs R'!$S$18-Restaurant!$X$26)*Restaurant!U26</f>
        <v>14027.935650588168</v>
      </c>
      <c r="Z26" s="14"/>
      <c r="AA26" s="116">
        <f t="shared" si="5"/>
        <v>4.50036</v>
      </c>
      <c r="AB26">
        <f t="shared" si="6"/>
        <v>3.00024</v>
      </c>
      <c r="AC26" s="19">
        <f t="shared" si="7"/>
        <v>1.50012</v>
      </c>
      <c r="AD26" s="118">
        <f t="shared" si="8"/>
        <v>0.3333333333333333</v>
      </c>
      <c r="AF26">
        <f t="shared" si="1"/>
        <v>63352.95183663084</v>
      </c>
      <c r="AG26">
        <f t="shared" si="2"/>
        <v>55503.05122442056</v>
      </c>
      <c r="AH26" s="19">
        <f t="shared" si="9"/>
        <v>7849.90061221028</v>
      </c>
      <c r="AI26" s="118">
        <f t="shared" si="10"/>
        <v>0.12390741685490726</v>
      </c>
    </row>
    <row r="27" spans="1:35" ht="12.75">
      <c r="A27">
        <v>15</v>
      </c>
      <c r="B27" s="10" t="s">
        <v>18</v>
      </c>
      <c r="C27" s="59">
        <v>2</v>
      </c>
      <c r="D27" s="55"/>
      <c r="E27" s="63"/>
      <c r="F27" s="69">
        <f>'Generic Energy Calcs R'!$L$65</f>
        <v>1463.6499999999999</v>
      </c>
      <c r="G27" s="66">
        <f>'Generic Energy Calcs R'!$N$65</f>
        <v>146.36499999999998</v>
      </c>
      <c r="H27" s="53"/>
      <c r="I27" s="66"/>
      <c r="J27" s="69"/>
      <c r="K27" s="52"/>
      <c r="L27" s="60">
        <f>'Generic Energy Calcs R'!L66</f>
        <v>1241</v>
      </c>
      <c r="M27" s="66">
        <f>'Generic Energy Calcs R'!$Q$66</f>
        <v>124.10000000000001</v>
      </c>
      <c r="N27" s="54"/>
      <c r="O27" s="66"/>
      <c r="P27" s="71">
        <f>(IF(D27,D27-J27,0))</f>
        <v>0</v>
      </c>
      <c r="Q27" s="142">
        <f>(IF(F27,F27-L27,0))</f>
        <v>222.64999999999986</v>
      </c>
      <c r="R27" s="73">
        <f t="shared" si="3"/>
        <v>0.1521197007481296</v>
      </c>
      <c r="S27" s="75">
        <f t="shared" si="11"/>
        <v>0</v>
      </c>
      <c r="T27" s="66">
        <f t="shared" si="12"/>
        <v>0</v>
      </c>
      <c r="U27" s="66">
        <f>C27*((IF(E27,E27-K27,G27-M27))+T27)</f>
        <v>44.529999999999944</v>
      </c>
      <c r="V27" s="52">
        <f>'Generic Energy Calcs R'!R67</f>
        <v>109</v>
      </c>
      <c r="W27" s="52">
        <f t="shared" si="4"/>
        <v>218</v>
      </c>
      <c r="X27" s="133">
        <f>'Generic Energy Calcs R'!$R$67/'Generic Energy Calcs R'!$Q$67</f>
        <v>4.895576016168881</v>
      </c>
      <c r="Y27" s="52">
        <f>('Generic Energy Calcs R'!$S$67-Restaurant!$X$27)*Restaurant!$U$27</f>
        <v>316.35999999999933</v>
      </c>
      <c r="Z27" s="14"/>
      <c r="AA27" s="116">
        <f t="shared" si="5"/>
        <v>0</v>
      </c>
      <c r="AB27">
        <f t="shared" si="6"/>
        <v>0</v>
      </c>
      <c r="AC27" s="19">
        <f t="shared" si="7"/>
        <v>0</v>
      </c>
      <c r="AD27" s="118" t="e">
        <f t="shared" si="8"/>
        <v>#DIV/0!</v>
      </c>
      <c r="AF27">
        <f t="shared" si="1"/>
        <v>2927.2999999999997</v>
      </c>
      <c r="AG27">
        <f t="shared" si="2"/>
        <v>2482</v>
      </c>
      <c r="AH27" s="19">
        <f t="shared" si="9"/>
        <v>445.2999999999997</v>
      </c>
      <c r="AI27" s="118">
        <f t="shared" si="10"/>
        <v>0.1521197007481296</v>
      </c>
    </row>
    <row r="28" spans="1:35" ht="12.75">
      <c r="A28">
        <v>16</v>
      </c>
      <c r="B28" s="10" t="s">
        <v>79</v>
      </c>
      <c r="C28" s="59">
        <v>0</v>
      </c>
      <c r="D28" s="55"/>
      <c r="E28" s="63"/>
      <c r="F28" s="69">
        <f>'Generic Energy Calcs R'!$L$71</f>
        <v>2284.9</v>
      </c>
      <c r="G28" s="66">
        <f>'Generic Energy Calcs R'!$N$71</f>
        <v>228.49</v>
      </c>
      <c r="H28" s="53"/>
      <c r="I28" s="66"/>
      <c r="J28" s="69"/>
      <c r="K28" s="52"/>
      <c r="L28" s="60">
        <f>'Generic Energy Calcs R'!$L$72</f>
        <v>1963.7</v>
      </c>
      <c r="M28" s="66">
        <f>'Generic Energy Calcs R'!$Q$72</f>
        <v>196.37</v>
      </c>
      <c r="N28" s="54"/>
      <c r="O28" s="66"/>
      <c r="P28" s="71">
        <f>(IF(D28,D28-J28,0))</f>
        <v>0</v>
      </c>
      <c r="Q28" s="53">
        <f>(IF(F28,F28-L28,0))</f>
        <v>321.20000000000005</v>
      </c>
      <c r="R28" s="73">
        <f t="shared" si="3"/>
        <v>0.1405750798722045</v>
      </c>
      <c r="S28" s="75">
        <f t="shared" si="11"/>
        <v>0</v>
      </c>
      <c r="T28" s="66">
        <f t="shared" si="12"/>
        <v>0</v>
      </c>
      <c r="U28" s="66">
        <f>C28*((IF(E28,E28-K28,G28-M28))+T28)</f>
        <v>0</v>
      </c>
      <c r="V28" s="52"/>
      <c r="W28" s="52">
        <f t="shared" si="4"/>
        <v>0</v>
      </c>
      <c r="X28" s="133"/>
      <c r="Y28" s="52"/>
      <c r="Z28" s="14"/>
      <c r="AA28" s="116">
        <f t="shared" si="5"/>
        <v>0</v>
      </c>
      <c r="AB28">
        <f t="shared" si="6"/>
        <v>0</v>
      </c>
      <c r="AC28" s="19">
        <f t="shared" si="7"/>
        <v>0</v>
      </c>
      <c r="AD28" s="118" t="e">
        <f t="shared" si="8"/>
        <v>#DIV/0!</v>
      </c>
      <c r="AF28">
        <f t="shared" si="1"/>
        <v>0</v>
      </c>
      <c r="AG28">
        <f t="shared" si="2"/>
        <v>0</v>
      </c>
      <c r="AH28" s="19">
        <f t="shared" si="9"/>
        <v>0</v>
      </c>
      <c r="AI28" s="118" t="e">
        <f t="shared" si="10"/>
        <v>#DIV/0!</v>
      </c>
    </row>
    <row r="29" spans="1:35" ht="12.75">
      <c r="A29">
        <v>17</v>
      </c>
      <c r="B29" s="10"/>
      <c r="C29" s="59"/>
      <c r="D29" s="55"/>
      <c r="E29" s="63"/>
      <c r="F29" s="69"/>
      <c r="G29" s="66"/>
      <c r="H29" s="53"/>
      <c r="I29" s="66"/>
      <c r="J29" s="69"/>
      <c r="K29" s="52"/>
      <c r="L29" s="60"/>
      <c r="M29" s="66"/>
      <c r="N29" s="54"/>
      <c r="O29" s="66"/>
      <c r="P29" s="71"/>
      <c r="Q29" s="53"/>
      <c r="R29" s="73"/>
      <c r="S29" s="75"/>
      <c r="T29" s="66"/>
      <c r="U29" s="66"/>
      <c r="V29" s="52"/>
      <c r="W29" s="52">
        <f t="shared" si="4"/>
        <v>0</v>
      </c>
      <c r="X29" s="133"/>
      <c r="Y29" s="52"/>
      <c r="Z29" s="14"/>
      <c r="AA29" s="116">
        <f t="shared" si="5"/>
        <v>0</v>
      </c>
      <c r="AB29">
        <f t="shared" si="6"/>
        <v>0</v>
      </c>
      <c r="AC29" s="19">
        <f t="shared" si="7"/>
        <v>0</v>
      </c>
      <c r="AD29" s="118" t="e">
        <f t="shared" si="8"/>
        <v>#DIV/0!</v>
      </c>
      <c r="AF29">
        <f t="shared" si="1"/>
        <v>0</v>
      </c>
      <c r="AG29">
        <f t="shared" si="2"/>
        <v>0</v>
      </c>
      <c r="AH29" s="19">
        <f t="shared" si="9"/>
        <v>0</v>
      </c>
      <c r="AI29" s="118" t="e">
        <f t="shared" si="10"/>
        <v>#DIV/0!</v>
      </c>
    </row>
    <row r="30" spans="1:35" ht="12.75">
      <c r="A30">
        <v>18</v>
      </c>
      <c r="B30" s="10" t="s">
        <v>19</v>
      </c>
      <c r="C30" s="59">
        <v>2</v>
      </c>
      <c r="D30" s="55"/>
      <c r="E30" s="63"/>
      <c r="F30" s="69">
        <f>'Generic Energy Calcs R'!$L$103</f>
        <v>4055.88</v>
      </c>
      <c r="G30" s="66">
        <f>'Generic Energy Calcs R'!$Q$103</f>
        <v>405.588</v>
      </c>
      <c r="H30" s="53"/>
      <c r="I30" s="66"/>
      <c r="J30" s="69"/>
      <c r="K30" s="52"/>
      <c r="L30" s="60">
        <f>'Generic Energy Calcs R'!$L$104</f>
        <v>1822.08</v>
      </c>
      <c r="M30" s="66">
        <f>'Generic Energy Calcs R'!$Q$104</f>
        <v>182.208</v>
      </c>
      <c r="N30" s="54"/>
      <c r="O30" s="66"/>
      <c r="P30" s="71">
        <f>(IF(D30,D30-J30,0))</f>
        <v>0</v>
      </c>
      <c r="Q30" s="142">
        <f>(IF(F30,F30-L30,0))</f>
        <v>2233.8</v>
      </c>
      <c r="R30" s="73">
        <f t="shared" si="3"/>
        <v>0.550755939524838</v>
      </c>
      <c r="S30" s="75">
        <f t="shared" si="11"/>
        <v>0</v>
      </c>
      <c r="T30" s="66">
        <f t="shared" si="12"/>
        <v>0</v>
      </c>
      <c r="U30" s="66">
        <f>C30*((IF(E30,E30-K30,G30-M30))+T30)</f>
        <v>446.76000000000005</v>
      </c>
      <c r="V30" s="52">
        <f>'Generic Energy Calcs R'!R105</f>
        <v>200</v>
      </c>
      <c r="W30" s="52">
        <f t="shared" si="4"/>
        <v>400</v>
      </c>
      <c r="X30" s="133">
        <f>'Generic Energy Calcs R'!$R$105/'Generic Energy Calcs R'!$Q$105</f>
        <v>0.895335303071</v>
      </c>
      <c r="Y30" s="52">
        <f>('Generic Energy Calcs R'!$S$105-Restaurant!$X$30)*Restaurant!U30</f>
        <v>4961.12</v>
      </c>
      <c r="Z30" s="14"/>
      <c r="AA30" s="116">
        <f t="shared" si="5"/>
        <v>0</v>
      </c>
      <c r="AB30">
        <f>J30*C30</f>
        <v>0</v>
      </c>
      <c r="AC30" s="19">
        <f t="shared" si="7"/>
        <v>0</v>
      </c>
      <c r="AD30" s="118" t="e">
        <f t="shared" si="8"/>
        <v>#DIV/0!</v>
      </c>
      <c r="AF30">
        <f t="shared" si="1"/>
        <v>8111.76</v>
      </c>
      <c r="AG30">
        <f t="shared" si="2"/>
        <v>3644.16</v>
      </c>
      <c r="AH30" s="19">
        <f t="shared" si="9"/>
        <v>4467.6</v>
      </c>
      <c r="AI30" s="118">
        <f t="shared" si="10"/>
        <v>0.550755939524838</v>
      </c>
    </row>
    <row r="31" spans="1:35" ht="12.75">
      <c r="A31" s="3">
        <v>19</v>
      </c>
      <c r="B31" s="10" t="s">
        <v>83</v>
      </c>
      <c r="C31" s="59">
        <v>1</v>
      </c>
      <c r="D31" s="56">
        <f>'Generic Energy Calcs R'!$L$121</f>
        <v>6473.905454545454</v>
      </c>
      <c r="E31" s="63">
        <f>'Generic Energy Calcs R'!$Q$121</f>
        <v>11353.58459893048</v>
      </c>
      <c r="F31" s="69"/>
      <c r="G31" s="66"/>
      <c r="H31" s="53"/>
      <c r="I31" s="66"/>
      <c r="J31" s="69">
        <f>'Generic Energy Calcs R'!$L$122</f>
        <v>5477.92</v>
      </c>
      <c r="K31" s="52">
        <f>'Generic Energy Calcs R'!$Q$122</f>
        <v>10357.599144385027</v>
      </c>
      <c r="L31" s="60"/>
      <c r="M31" s="66"/>
      <c r="N31" s="54"/>
      <c r="O31" s="66"/>
      <c r="P31" s="72">
        <f>(IF(D31,D31-J31,0))</f>
        <v>995.9854545454536</v>
      </c>
      <c r="Q31" s="53">
        <f>(IF(F31,F31-L31,0))</f>
        <v>0</v>
      </c>
      <c r="R31" s="73">
        <f t="shared" si="3"/>
        <v>0.15384615384615372</v>
      </c>
      <c r="S31" s="75">
        <f t="shared" si="11"/>
        <v>0</v>
      </c>
      <c r="T31" s="66">
        <f t="shared" si="12"/>
        <v>0</v>
      </c>
      <c r="U31" s="66">
        <f>C31*((IF(E31,E31-K31,G31-M31))+T31)</f>
        <v>995.9854545454527</v>
      </c>
      <c r="V31" s="52">
        <f>'Generic Energy Calcs R'!R123</f>
        <v>3000</v>
      </c>
      <c r="W31" s="52">
        <f t="shared" si="4"/>
        <v>3000</v>
      </c>
      <c r="X31" s="133">
        <f>'Generic Energy Calcs R'!$R$123/'Generic Energy Calcs R'!$Q$123</f>
        <v>3.0120921809738057</v>
      </c>
      <c r="Y31" s="52">
        <f>('Generic Energy Calcs R'!$S$123-Restaurant!$X$31)*Restaurant!$U$31</f>
        <v>6959.854545454527</v>
      </c>
      <c r="Z31" s="14"/>
      <c r="AA31" s="116">
        <f t="shared" si="5"/>
        <v>6473.905454545454</v>
      </c>
      <c r="AB31">
        <f t="shared" si="6"/>
        <v>5477.92</v>
      </c>
      <c r="AC31" s="19">
        <f t="shared" si="7"/>
        <v>995.9854545454536</v>
      </c>
      <c r="AD31" s="118">
        <f t="shared" si="8"/>
        <v>0.15384615384615372</v>
      </c>
      <c r="AF31">
        <f t="shared" si="1"/>
        <v>0</v>
      </c>
      <c r="AG31">
        <f t="shared" si="2"/>
        <v>0</v>
      </c>
      <c r="AH31" s="19">
        <f t="shared" si="9"/>
        <v>0</v>
      </c>
      <c r="AI31" s="118" t="e">
        <f t="shared" si="10"/>
        <v>#DIV/0!</v>
      </c>
    </row>
    <row r="32" spans="1:35" ht="12.75">
      <c r="A32">
        <v>20</v>
      </c>
      <c r="B32" s="10" t="s">
        <v>50</v>
      </c>
      <c r="C32" s="59">
        <v>1</v>
      </c>
      <c r="D32" s="55"/>
      <c r="E32" s="63"/>
      <c r="F32" s="69">
        <f>'Generic Energy Calcs R'!$L$53</f>
        <v>9636</v>
      </c>
      <c r="G32" s="66">
        <f>'Generic Energy Calcs R'!Q53</f>
        <v>963.6</v>
      </c>
      <c r="H32" s="53"/>
      <c r="I32" s="66"/>
      <c r="J32" s="69"/>
      <c r="K32" s="52"/>
      <c r="L32" s="60">
        <f>'Generic Energy Calcs R'!$L$54</f>
        <v>1277.5</v>
      </c>
      <c r="M32" s="66">
        <f>'Generic Energy Calcs R'!$Q$54</f>
        <v>127.75</v>
      </c>
      <c r="N32" s="54"/>
      <c r="O32" s="66"/>
      <c r="P32" s="72">
        <f>(IF(D32,D32-J32,0))</f>
        <v>0</v>
      </c>
      <c r="Q32" s="53">
        <f>(IF(F32,F32-L32,0))</f>
        <v>8358.5</v>
      </c>
      <c r="R32" s="73">
        <f t="shared" si="3"/>
        <v>0.8674242424242424</v>
      </c>
      <c r="S32" s="75">
        <f t="shared" si="11"/>
        <v>0</v>
      </c>
      <c r="T32" s="66">
        <f t="shared" si="12"/>
        <v>0</v>
      </c>
      <c r="U32" s="66">
        <f>C32*((IF(E32,E32-K32,G32-M32))+T32)</f>
        <v>835.85</v>
      </c>
      <c r="V32" s="134">
        <f>'Generic Energy Calcs R'!R55</f>
        <v>-215</v>
      </c>
      <c r="W32" s="52">
        <f t="shared" si="4"/>
        <v>-215</v>
      </c>
      <c r="X32" s="133">
        <f>'Generic Energy Calcs R'!$R$55/'Generic Energy Calcs R'!$Q$55</f>
        <v>-0.25722318597834537</v>
      </c>
      <c r="Y32" s="52">
        <f>('Generic Energy Calcs R'!$S$55-Restaurant!$X$32)*Restaurant!$U$32</f>
        <v>5230.1</v>
      </c>
      <c r="Z32" s="14"/>
      <c r="AA32" s="116">
        <f t="shared" si="5"/>
        <v>0</v>
      </c>
      <c r="AB32">
        <f t="shared" si="6"/>
        <v>0</v>
      </c>
      <c r="AC32" s="19">
        <f t="shared" si="7"/>
        <v>0</v>
      </c>
      <c r="AD32" s="118" t="e">
        <f t="shared" si="8"/>
        <v>#DIV/0!</v>
      </c>
      <c r="AF32">
        <f t="shared" si="1"/>
        <v>9636</v>
      </c>
      <c r="AG32">
        <f t="shared" si="2"/>
        <v>1277.5</v>
      </c>
      <c r="AH32" s="19">
        <f t="shared" si="9"/>
        <v>8358.5</v>
      </c>
      <c r="AI32" s="118">
        <f t="shared" si="10"/>
        <v>0.8674242424242424</v>
      </c>
    </row>
    <row r="33" spans="1:35" ht="12.75">
      <c r="A33">
        <v>21</v>
      </c>
      <c r="B33" s="10" t="s">
        <v>145</v>
      </c>
      <c r="C33" s="59">
        <v>14</v>
      </c>
      <c r="D33" s="55"/>
      <c r="E33" s="63"/>
      <c r="F33" s="69">
        <f>'Generic Energy Calcs R'!$L$127</f>
        <v>342.51599999999996</v>
      </c>
      <c r="G33" s="66">
        <f>'Generic Energy Calcs R'!$Q$127</f>
        <v>34.251599999999996</v>
      </c>
      <c r="H33" s="53"/>
      <c r="I33" s="66"/>
      <c r="J33" s="69"/>
      <c r="K33" s="52"/>
      <c r="L33" s="69">
        <f>'Generic Energy Calcs R'!$L$128</f>
        <v>252.288</v>
      </c>
      <c r="M33" s="66">
        <f>'Generic Energy Calcs R'!Q128</f>
        <v>25.228800000000003</v>
      </c>
      <c r="N33" s="54"/>
      <c r="O33" s="66"/>
      <c r="P33" s="72">
        <f>(IF(D33,D33-J33,0))</f>
        <v>0</v>
      </c>
      <c r="Q33" s="142">
        <f>(IF(F33,F33-L33,0))</f>
        <v>90.22799999999995</v>
      </c>
      <c r="R33" s="73">
        <f t="shared" si="3"/>
        <v>0.2634271099744244</v>
      </c>
      <c r="S33" s="75">
        <f t="shared" si="11"/>
        <v>0</v>
      </c>
      <c r="T33" s="66">
        <f t="shared" si="12"/>
        <v>0</v>
      </c>
      <c r="U33" s="66">
        <f>C33*((IF(E33,E33-K33,G33-M33))+T33)</f>
        <v>126.31919999999991</v>
      </c>
      <c r="V33" s="52">
        <f>'Generic Energy Calcs R'!R129</f>
        <v>18.009999999999998</v>
      </c>
      <c r="W33" s="52">
        <f t="shared" si="4"/>
        <v>252.14</v>
      </c>
      <c r="X33" s="133">
        <f>'Generic Energy Calcs R'!$R$129/'Generic Energy Calcs R'!$Q$129</f>
        <v>1.9960544398634583</v>
      </c>
      <c r="Y33" s="52">
        <f>('Generic Energy Calcs R'!$S$129-Restaurant!$X$33)*Restaurant!$U$33</f>
        <v>1263.6903999999988</v>
      </c>
      <c r="Z33" s="14"/>
      <c r="AA33" s="116">
        <f t="shared" si="5"/>
        <v>0</v>
      </c>
      <c r="AB33">
        <f t="shared" si="6"/>
        <v>0</v>
      </c>
      <c r="AC33" s="19">
        <f t="shared" si="7"/>
        <v>0</v>
      </c>
      <c r="AD33" s="118" t="e">
        <f t="shared" si="8"/>
        <v>#DIV/0!</v>
      </c>
      <c r="AF33">
        <f t="shared" si="1"/>
        <v>4795.223999999999</v>
      </c>
      <c r="AG33">
        <f t="shared" si="2"/>
        <v>3532.032</v>
      </c>
      <c r="AH33" s="19">
        <f t="shared" si="9"/>
        <v>1263.191999999999</v>
      </c>
      <c r="AI33" s="118">
        <f t="shared" si="10"/>
        <v>0.2634271099744244</v>
      </c>
    </row>
    <row r="34" spans="1:35" ht="12.75">
      <c r="A34">
        <v>22</v>
      </c>
      <c r="B34" s="10" t="s">
        <v>146</v>
      </c>
      <c r="C34" s="60">
        <v>14</v>
      </c>
      <c r="D34" s="55"/>
      <c r="E34" s="63"/>
      <c r="F34" s="69">
        <f>'Generic Energy Calcs R'!$L$131</f>
        <v>262.8</v>
      </c>
      <c r="G34" s="66">
        <f>'Generic Energy Calcs R'!$Q$131</f>
        <v>26.28</v>
      </c>
      <c r="H34" s="53"/>
      <c r="I34" s="66"/>
      <c r="J34" s="69"/>
      <c r="K34" s="52"/>
      <c r="L34" s="69">
        <f>'Generic Energy Calcs R'!$L$132</f>
        <v>65.7</v>
      </c>
      <c r="M34" s="66">
        <f>'Generic Energy Calcs R'!$Q$132</f>
        <v>6.57</v>
      </c>
      <c r="N34" s="54"/>
      <c r="O34" s="66"/>
      <c r="P34" s="72">
        <f>(IF(D34,D34-J34,0))</f>
        <v>0</v>
      </c>
      <c r="Q34" s="142">
        <f>(IF(F34,F34-L34,0))</f>
        <v>197.10000000000002</v>
      </c>
      <c r="R34" s="73">
        <f t="shared" si="3"/>
        <v>0.75</v>
      </c>
      <c r="S34" s="75">
        <f t="shared" si="11"/>
        <v>0</v>
      </c>
      <c r="T34" s="66">
        <f t="shared" si="12"/>
        <v>0</v>
      </c>
      <c r="U34" s="66">
        <f>C34*((IF(E34,E34-K34,G34-M34))+T34)</f>
        <v>275.94</v>
      </c>
      <c r="V34" s="52">
        <f>'Generic Energy Calcs R'!R133</f>
        <v>4.5</v>
      </c>
      <c r="W34" s="52">
        <f t="shared" si="4"/>
        <v>63</v>
      </c>
      <c r="X34" s="133">
        <f>'Generic Energy Calcs R'!$R$133/'Generic Energy Calcs R'!$Q$133</f>
        <v>0.228310502283105</v>
      </c>
      <c r="Y34" s="52">
        <f>('Generic Energy Calcs R'!$S$133-Restaurant!$X$34)*Restaurant!$U$34</f>
        <v>626.85</v>
      </c>
      <c r="Z34" s="14"/>
      <c r="AA34" s="116">
        <f t="shared" si="5"/>
        <v>0</v>
      </c>
      <c r="AB34">
        <f t="shared" si="6"/>
        <v>0</v>
      </c>
      <c r="AC34" s="19">
        <f t="shared" si="7"/>
        <v>0</v>
      </c>
      <c r="AD34" s="118" t="e">
        <f t="shared" si="8"/>
        <v>#DIV/0!</v>
      </c>
      <c r="AF34">
        <f t="shared" si="1"/>
        <v>3679.2000000000003</v>
      </c>
      <c r="AG34">
        <f t="shared" si="2"/>
        <v>919.8000000000001</v>
      </c>
      <c r="AH34" s="19">
        <f t="shared" si="9"/>
        <v>2759.4</v>
      </c>
      <c r="AI34" s="118">
        <f t="shared" si="10"/>
        <v>0.75</v>
      </c>
    </row>
    <row r="35" spans="1:35" ht="12.75">
      <c r="A35">
        <v>23</v>
      </c>
      <c r="B35" s="10" t="s">
        <v>136</v>
      </c>
      <c r="C35" s="59">
        <v>1</v>
      </c>
      <c r="D35" s="55"/>
      <c r="E35" s="63"/>
      <c r="F35" s="141">
        <f>'Generic Energy Calcs R'!L138</f>
        <v>7500</v>
      </c>
      <c r="G35" s="66">
        <f>'Generic Energy Calcs R'!$Q$138</f>
        <v>7500</v>
      </c>
      <c r="H35" s="53"/>
      <c r="I35" s="66"/>
      <c r="J35" s="69"/>
      <c r="K35" s="52"/>
      <c r="L35" s="141">
        <f>'Generic Energy Calcs R'!L139</f>
        <v>5000</v>
      </c>
      <c r="M35" s="66">
        <f>'Generic Energy Calcs R'!Q139</f>
        <v>5000</v>
      </c>
      <c r="N35" s="54"/>
      <c r="O35" s="66"/>
      <c r="P35" s="72">
        <f>(IF(D35,D35-J35,0))</f>
        <v>0</v>
      </c>
      <c r="Q35" s="142">
        <f>(IF(F35,F35-L35,0))</f>
        <v>2500</v>
      </c>
      <c r="R35" s="73">
        <f t="shared" si="3"/>
        <v>0.3333333333333333</v>
      </c>
      <c r="S35" s="75">
        <f>IF(H35,H35-N35,0)</f>
        <v>0</v>
      </c>
      <c r="T35" s="66">
        <f>IF(I35,I35-O35,0)</f>
        <v>0</v>
      </c>
      <c r="U35" s="66">
        <f>G35-M35</f>
        <v>2500</v>
      </c>
      <c r="V35" s="52">
        <f>'Generic Energy Calcs R'!R140</f>
        <v>10000</v>
      </c>
      <c r="W35" s="143">
        <f t="shared" si="4"/>
        <v>10000</v>
      </c>
      <c r="X35" s="133">
        <f>'Generic Energy Calcs R'!R140/'Generic Energy Calcs R'!Q140</f>
        <v>4</v>
      </c>
      <c r="Y35" s="52">
        <f>('Generic Energy Calcs R'!S140-Restaurant!X35)*Restaurant!U35</f>
        <v>20000</v>
      </c>
      <c r="Z35" s="14"/>
      <c r="AA35" s="116">
        <f t="shared" si="5"/>
        <v>0</v>
      </c>
      <c r="AB35">
        <f t="shared" si="6"/>
        <v>0</v>
      </c>
      <c r="AC35" s="19">
        <f t="shared" si="7"/>
        <v>0</v>
      </c>
      <c r="AD35" s="118" t="e">
        <f t="shared" si="8"/>
        <v>#DIV/0!</v>
      </c>
      <c r="AF35">
        <f t="shared" si="1"/>
        <v>7500</v>
      </c>
      <c r="AG35">
        <f t="shared" si="2"/>
        <v>5000</v>
      </c>
      <c r="AH35" s="19">
        <f t="shared" si="9"/>
        <v>2500</v>
      </c>
      <c r="AI35" s="118">
        <f t="shared" si="10"/>
        <v>0.3333333333333333</v>
      </c>
    </row>
    <row r="36" spans="1:35" ht="12.75">
      <c r="A36" s="3"/>
      <c r="C36" s="60"/>
      <c r="D36" s="55"/>
      <c r="E36" s="63"/>
      <c r="F36" s="69"/>
      <c r="G36" s="66"/>
      <c r="H36" s="53"/>
      <c r="I36" s="66"/>
      <c r="J36" s="69"/>
      <c r="K36" s="52"/>
      <c r="L36" s="60"/>
      <c r="M36" s="66"/>
      <c r="N36" s="54"/>
      <c r="O36" s="66"/>
      <c r="P36" s="60"/>
      <c r="Q36" s="51"/>
      <c r="R36" s="73"/>
      <c r="S36" s="75">
        <f t="shared" si="11"/>
        <v>0</v>
      </c>
      <c r="T36" s="66">
        <f t="shared" si="12"/>
        <v>0</v>
      </c>
      <c r="U36" s="66">
        <f>C36*(IF(E36,E36-K36,G36-M36))</f>
        <v>0</v>
      </c>
      <c r="V36" s="52"/>
      <c r="W36" s="52"/>
      <c r="X36" s="133"/>
      <c r="Y36" s="133"/>
      <c r="Z36" s="14"/>
      <c r="AA36" s="116">
        <f t="shared" si="5"/>
        <v>0</v>
      </c>
      <c r="AB36">
        <f t="shared" si="6"/>
        <v>0</v>
      </c>
      <c r="AC36" s="19">
        <f t="shared" si="7"/>
        <v>0</v>
      </c>
      <c r="AD36" s="118" t="e">
        <f t="shared" si="8"/>
        <v>#DIV/0!</v>
      </c>
      <c r="AF36">
        <f t="shared" si="1"/>
        <v>0</v>
      </c>
      <c r="AG36">
        <f t="shared" si="2"/>
        <v>0</v>
      </c>
      <c r="AH36" s="19">
        <f t="shared" si="9"/>
        <v>0</v>
      </c>
      <c r="AI36" s="118" t="e">
        <f t="shared" si="10"/>
        <v>#DIV/0!</v>
      </c>
    </row>
    <row r="37" spans="1:35" ht="12.75">
      <c r="A37" s="38"/>
      <c r="B37" s="38"/>
      <c r="C37" s="61"/>
      <c r="D37" s="57"/>
      <c r="E37" s="64"/>
      <c r="F37" s="70"/>
      <c r="G37" s="67"/>
      <c r="H37" s="45"/>
      <c r="I37" s="67"/>
      <c r="J37" s="70"/>
      <c r="K37" s="39"/>
      <c r="L37" s="61"/>
      <c r="M37" s="67"/>
      <c r="N37" s="46"/>
      <c r="O37" s="67"/>
      <c r="P37" s="61"/>
      <c r="Q37" s="38"/>
      <c r="R37" s="74"/>
      <c r="S37" s="77">
        <f t="shared" si="11"/>
        <v>0</v>
      </c>
      <c r="T37" s="67">
        <f t="shared" si="12"/>
        <v>0</v>
      </c>
      <c r="U37" s="67">
        <f>C37*(IF(E37,E37-K37,G37-M37))</f>
        <v>0</v>
      </c>
      <c r="V37" s="52"/>
      <c r="W37" s="52"/>
      <c r="X37" s="133"/>
      <c r="Y37" s="133"/>
      <c r="Z37" s="14"/>
      <c r="AA37" s="116">
        <f t="shared" si="5"/>
        <v>0</v>
      </c>
      <c r="AB37">
        <f t="shared" si="6"/>
        <v>0</v>
      </c>
      <c r="AC37" s="19">
        <f t="shared" si="7"/>
        <v>0</v>
      </c>
      <c r="AD37" s="118" t="e">
        <f t="shared" si="8"/>
        <v>#DIV/0!</v>
      </c>
      <c r="AF37">
        <f t="shared" si="1"/>
        <v>0</v>
      </c>
      <c r="AG37">
        <f t="shared" si="2"/>
        <v>0</v>
      </c>
      <c r="AH37" s="19">
        <f t="shared" si="9"/>
        <v>0</v>
      </c>
      <c r="AI37" s="118" t="e">
        <f t="shared" si="10"/>
        <v>#DIV/0!</v>
      </c>
    </row>
    <row r="38" spans="5:35" ht="25.5">
      <c r="E38" s="32"/>
      <c r="G38" s="32"/>
      <c r="H38" s="32"/>
      <c r="I38" s="32"/>
      <c r="K38" s="32"/>
      <c r="L38" s="32"/>
      <c r="N38" s="32"/>
      <c r="O38" s="32"/>
      <c r="R38" s="40" t="s">
        <v>159</v>
      </c>
      <c r="T38" s="40" t="s">
        <v>112</v>
      </c>
      <c r="U38" s="40" t="s">
        <v>84</v>
      </c>
      <c r="V38" s="40"/>
      <c r="W38" s="40"/>
      <c r="X38" s="40"/>
      <c r="Y38" s="40"/>
      <c r="AA38" s="121">
        <f>SUM(AA13:AA37)</f>
        <v>16789.013414545454</v>
      </c>
      <c r="AB38" s="121">
        <f>SUM(AB13:AB37)</f>
        <v>13151.806960000002</v>
      </c>
      <c r="AC38" s="121">
        <f>SUM(AC13:AC37)</f>
        <v>3637.206454545454</v>
      </c>
      <c r="AD38" s="121"/>
      <c r="AE38" s="115"/>
      <c r="AF38" s="121">
        <f>SUM(AF13:AF37)</f>
        <v>247897.5158366308</v>
      </c>
      <c r="AG38" s="121">
        <f>SUM(AG13:AG37)</f>
        <v>162451.49322442056</v>
      </c>
      <c r="AH38" s="121">
        <f>SUM(AH13:AH37)</f>
        <v>85446.02261221028</v>
      </c>
      <c r="AI38" s="122"/>
    </row>
    <row r="39" spans="1:35" ht="12.75">
      <c r="A39" s="36"/>
      <c r="B39" s="36" t="s">
        <v>8</v>
      </c>
      <c r="C39" s="36"/>
      <c r="D39" s="111"/>
      <c r="E39" s="37"/>
      <c r="F39" s="111"/>
      <c r="G39" s="37"/>
      <c r="H39" s="111"/>
      <c r="I39" s="37"/>
      <c r="J39" s="111"/>
      <c r="K39" s="37"/>
      <c r="L39" s="111"/>
      <c r="M39" s="36"/>
      <c r="N39" s="111"/>
      <c r="O39" s="37"/>
      <c r="P39" s="111"/>
      <c r="Q39" s="111"/>
      <c r="R39" s="41">
        <f>AF42</f>
        <v>0.3421915196583933</v>
      </c>
      <c r="S39" s="111"/>
      <c r="T39" s="94">
        <f>SUM(T13:T37)</f>
        <v>2330.5347593582887</v>
      </c>
      <c r="U39" s="179">
        <f>SUM(U13:U37)</f>
        <v>17951.033314696964</v>
      </c>
      <c r="V39" s="131"/>
      <c r="W39" s="131"/>
      <c r="X39" s="131"/>
      <c r="Y39" s="131"/>
      <c r="AC39" s="124" t="s">
        <v>165</v>
      </c>
      <c r="AD39" s="128">
        <f>AC38/AA38</f>
        <v>0.2166420601817077</v>
      </c>
      <c r="AH39" s="124" t="s">
        <v>165</v>
      </c>
      <c r="AI39" s="129">
        <f>AH38/AF38</f>
        <v>0.3446828513946095</v>
      </c>
    </row>
    <row r="40" spans="5:35" ht="12.75">
      <c r="E40" s="32"/>
      <c r="F40" s="114"/>
      <c r="G40" s="32"/>
      <c r="H40" s="32"/>
      <c r="I40" s="32"/>
      <c r="K40" s="32"/>
      <c r="L40" s="115"/>
      <c r="N40" s="32"/>
      <c r="O40" s="32"/>
      <c r="Q40" s="114"/>
      <c r="R40" s="119"/>
      <c r="AF40" s="127">
        <f>AF38*3.413</f>
        <v>846074.2215504209</v>
      </c>
      <c r="AG40" s="125" t="s">
        <v>166</v>
      </c>
      <c r="AH40" s="127">
        <f>AH38*3.413</f>
        <v>291627.27517547365</v>
      </c>
      <c r="AI40" s="125" t="s">
        <v>166</v>
      </c>
    </row>
    <row r="41" spans="5:35" ht="12.75">
      <c r="E41" s="32"/>
      <c r="F41" s="173"/>
      <c r="G41" s="143"/>
      <c r="L41" s="114"/>
      <c r="N41" s="32"/>
      <c r="O41" s="32"/>
      <c r="R41" s="120"/>
      <c r="AI41" s="123">
        <f>AH40/AF40</f>
        <v>0.3446828513946095</v>
      </c>
    </row>
    <row r="42" spans="5:32" ht="12.75">
      <c r="E42" s="32"/>
      <c r="F42" s="174"/>
      <c r="G42" s="174"/>
      <c r="J42" s="114"/>
      <c r="R42" s="51"/>
      <c r="AD42" s="124" t="s">
        <v>167</v>
      </c>
      <c r="AE42" s="125"/>
      <c r="AF42" s="126">
        <f>(AH40+AC38)/(AF40+AA38)</f>
        <v>0.3421915196583933</v>
      </c>
    </row>
    <row r="43" spans="3:18" ht="12.75">
      <c r="C43" s="51"/>
      <c r="D43" s="51"/>
      <c r="E43" s="51"/>
      <c r="F43" s="51"/>
      <c r="G43" s="51"/>
      <c r="H43" s="51"/>
      <c r="I43" s="51"/>
      <c r="J43" s="51"/>
      <c r="K43" s="51"/>
      <c r="L43" s="51"/>
      <c r="M43" s="51"/>
      <c r="N43" s="51"/>
      <c r="O43" s="51"/>
      <c r="P43" s="51"/>
      <c r="Q43" s="51"/>
      <c r="R43" s="51"/>
    </row>
    <row r="44" spans="3:18" ht="12.75">
      <c r="C44" s="51"/>
      <c r="D44" s="51"/>
      <c r="E44" s="52"/>
      <c r="F44" s="112"/>
      <c r="G44" s="52"/>
      <c r="H44" s="53"/>
      <c r="I44" s="52"/>
      <c r="J44" s="112"/>
      <c r="K44" s="52"/>
      <c r="L44" s="51"/>
      <c r="M44" s="52"/>
      <c r="N44" s="54"/>
      <c r="O44" s="52"/>
      <c r="P44" s="53"/>
      <c r="Q44" s="53"/>
      <c r="R44" s="113"/>
    </row>
    <row r="45" spans="3:18" ht="12.75">
      <c r="C45" s="51"/>
      <c r="D45" s="51"/>
      <c r="E45" s="52"/>
      <c r="F45" s="112"/>
      <c r="G45" s="52"/>
      <c r="H45" s="53"/>
      <c r="I45" s="52"/>
      <c r="J45" s="112"/>
      <c r="K45" s="52"/>
      <c r="L45" s="51"/>
      <c r="M45" s="52"/>
      <c r="N45" s="54"/>
      <c r="O45" s="52"/>
      <c r="P45" s="53"/>
      <c r="Q45" s="53"/>
      <c r="R45" s="113"/>
    </row>
    <row r="46" spans="1:18" ht="12.75">
      <c r="A46" s="2"/>
      <c r="D46" s="51"/>
      <c r="E46" s="51"/>
      <c r="F46" s="51"/>
      <c r="G46" s="51"/>
      <c r="H46" s="51"/>
      <c r="I46" s="51"/>
      <c r="J46" s="51"/>
      <c r="K46" s="51"/>
      <c r="L46" s="51"/>
      <c r="M46" s="51"/>
      <c r="N46" s="51"/>
      <c r="O46" s="51"/>
      <c r="P46" s="51"/>
      <c r="Q46" s="51"/>
      <c r="R46" s="51"/>
    </row>
    <row r="47" ht="12.75">
      <c r="A47" s="2"/>
    </row>
    <row r="48" ht="12.75">
      <c r="A48" s="9"/>
    </row>
  </sheetData>
  <mergeCells count="13">
    <mergeCell ref="E3:G3"/>
    <mergeCell ref="D10:I10"/>
    <mergeCell ref="H11:I11"/>
    <mergeCell ref="J10:O10"/>
    <mergeCell ref="J11:K11"/>
    <mergeCell ref="L11:M11"/>
    <mergeCell ref="N11:O11"/>
    <mergeCell ref="D11:E11"/>
    <mergeCell ref="F11:G11"/>
    <mergeCell ref="AF11:AI11"/>
    <mergeCell ref="S11:T11"/>
    <mergeCell ref="AA11:AD11"/>
    <mergeCell ref="P10:T10"/>
  </mergeCells>
  <printOptions/>
  <pageMargins left="0.75" right="0.75" top="1" bottom="1" header="0.5" footer="0.5"/>
  <pageSetup fitToHeight="1" fitToWidth="1" horizontalDpi="600" verticalDpi="600" orientation="landscape" scale="30" r:id="rId3"/>
  <legacyDrawing r:id="rId2"/>
</worksheet>
</file>

<file path=xl/worksheets/sheet2.xml><?xml version="1.0" encoding="utf-8"?>
<worksheet xmlns="http://schemas.openxmlformats.org/spreadsheetml/2006/main" xmlns:r="http://schemas.openxmlformats.org/officeDocument/2006/relationships">
  <dimension ref="A1:S140"/>
  <sheetViews>
    <sheetView workbookViewId="0" topLeftCell="A1">
      <pane xSplit="2" ySplit="3" topLeftCell="H121" activePane="bottomRight" state="frozen"/>
      <selection pane="topLeft" activeCell="A1" sqref="A1"/>
      <selection pane="topRight" activeCell="C1" sqref="C1"/>
      <selection pane="bottomLeft" activeCell="A4" sqref="A4"/>
      <selection pane="bottomRight" activeCell="H135" sqref="H135"/>
    </sheetView>
  </sheetViews>
  <sheetFormatPr defaultColWidth="9.140625" defaultRowHeight="12.75"/>
  <cols>
    <col min="1" max="1" width="33.57421875" style="0" customWidth="1"/>
    <col min="2" max="2" width="18.140625" style="0" customWidth="1"/>
    <col min="3" max="3" width="14.7109375" style="0" customWidth="1"/>
    <col min="4" max="5" width="12.8515625" style="0" customWidth="1"/>
    <col min="6" max="6" width="12.421875" style="0" customWidth="1"/>
    <col min="7" max="7" width="19.421875" style="0" customWidth="1"/>
    <col min="8" max="8" width="20.00390625" style="0" customWidth="1"/>
    <col min="9" max="9" width="16.00390625" style="0" bestFit="1" customWidth="1"/>
    <col min="10" max="10" width="11.57421875" style="0" bestFit="1" customWidth="1"/>
    <col min="11" max="11" width="13.8515625" style="0" bestFit="1" customWidth="1"/>
    <col min="12" max="13" width="17.7109375" style="0" bestFit="1" customWidth="1"/>
    <col min="14" max="14" width="10.7109375" style="0" bestFit="1" customWidth="1"/>
    <col min="15" max="15" width="10.421875" style="0" bestFit="1" customWidth="1"/>
    <col min="16" max="16" width="10.57421875" style="0" bestFit="1" customWidth="1"/>
    <col min="17" max="17" width="16.7109375" style="0" bestFit="1" customWidth="1"/>
    <col min="18" max="18" width="13.28125" style="0" customWidth="1"/>
    <col min="19" max="19" width="12.00390625" style="0" customWidth="1"/>
  </cols>
  <sheetData>
    <row r="1" spans="12:18" ht="38.25">
      <c r="L1" t="s">
        <v>23</v>
      </c>
      <c r="M1" t="s">
        <v>24</v>
      </c>
      <c r="N1" s="11" t="s">
        <v>25</v>
      </c>
      <c r="O1" s="11" t="s">
        <v>26</v>
      </c>
      <c r="P1" s="11" t="s">
        <v>27</v>
      </c>
      <c r="Q1" s="11" t="s">
        <v>28</v>
      </c>
      <c r="R1" s="11" t="s">
        <v>152</v>
      </c>
    </row>
    <row r="2" spans="12:18" ht="12.75">
      <c r="L2" s="12">
        <v>365</v>
      </c>
      <c r="M2" s="13">
        <f>Restaurant!F4</f>
        <v>1</v>
      </c>
      <c r="N2" s="13">
        <f>Restaurant!F5</f>
        <v>0.1</v>
      </c>
      <c r="O2" s="13">
        <f>Restaurant!F6</f>
        <v>2</v>
      </c>
      <c r="P2" s="13">
        <f>Restaurant!F7</f>
        <v>3</v>
      </c>
      <c r="Q2" s="176">
        <f>SUM(O2:P2)</f>
        <v>5</v>
      </c>
      <c r="R2" s="177">
        <f>Restaurant!F8</f>
        <v>1</v>
      </c>
    </row>
    <row r="3" spans="1:19" ht="39" thickBot="1">
      <c r="A3" s="30" t="s">
        <v>22</v>
      </c>
      <c r="B3" s="16" t="s">
        <v>29</v>
      </c>
      <c r="C3" s="16"/>
      <c r="D3" s="16"/>
      <c r="E3" s="16"/>
      <c r="F3" s="16" t="s">
        <v>30</v>
      </c>
      <c r="G3" s="16" t="s">
        <v>31</v>
      </c>
      <c r="H3" s="16"/>
      <c r="I3" s="17" t="s">
        <v>32</v>
      </c>
      <c r="J3" s="17" t="s">
        <v>33</v>
      </c>
      <c r="K3" s="17"/>
      <c r="L3" s="17" t="s">
        <v>34</v>
      </c>
      <c r="M3" s="17" t="s">
        <v>35</v>
      </c>
      <c r="N3" s="17" t="s">
        <v>36</v>
      </c>
      <c r="O3" s="17" t="s">
        <v>37</v>
      </c>
      <c r="P3" s="17" t="s">
        <v>38</v>
      </c>
      <c r="Q3" s="17" t="s">
        <v>39</v>
      </c>
      <c r="R3" s="17" t="s">
        <v>182</v>
      </c>
      <c r="S3" s="17" t="s">
        <v>175</v>
      </c>
    </row>
    <row r="4" spans="1:18" ht="12.75">
      <c r="A4" s="18" t="s">
        <v>69</v>
      </c>
      <c r="B4">
        <v>500</v>
      </c>
      <c r="F4">
        <v>21.6</v>
      </c>
      <c r="G4">
        <f>6.89-0.0011*D4</f>
        <v>6.89</v>
      </c>
      <c r="I4">
        <f>12*G4</f>
        <v>82.67999999999999</v>
      </c>
      <c r="J4">
        <f>12*F4</f>
        <v>259.20000000000005</v>
      </c>
      <c r="L4">
        <f>$L$2*I4</f>
        <v>30178.199999999997</v>
      </c>
      <c r="M4" s="19">
        <f>$L$2*J4/748</f>
        <v>126.48128342245991</v>
      </c>
      <c r="N4" s="20">
        <f>N$2*L4</f>
        <v>3017.8199999999997</v>
      </c>
      <c r="O4" s="20">
        <f>O$2*M4</f>
        <v>252.96256684491982</v>
      </c>
      <c r="P4" s="20">
        <f>P$2*M4</f>
        <v>379.44385026737973</v>
      </c>
      <c r="Q4" s="20">
        <f>SUM(N4:P4)</f>
        <v>3650.2264171122993</v>
      </c>
      <c r="R4" s="109">
        <v>1870</v>
      </c>
    </row>
    <row r="5" spans="1:18" ht="12.75">
      <c r="A5" t="s">
        <v>168</v>
      </c>
      <c r="B5">
        <v>500</v>
      </c>
      <c r="F5">
        <v>18</v>
      </c>
      <c r="G5">
        <f>5.51-0.0009*D5</f>
        <v>5.51</v>
      </c>
      <c r="I5">
        <f>12*G5</f>
        <v>66.12</v>
      </c>
      <c r="J5">
        <f>12*F5</f>
        <v>216</v>
      </c>
      <c r="L5">
        <f>$L$2*I5</f>
        <v>24133.800000000003</v>
      </c>
      <c r="M5" s="19">
        <f>$L$2*J5/748</f>
        <v>105.40106951871658</v>
      </c>
      <c r="N5" s="20">
        <f>N$2*L5</f>
        <v>2413.3800000000006</v>
      </c>
      <c r="O5" s="20">
        <f>O$2*M5</f>
        <v>210.80213903743316</v>
      </c>
      <c r="P5" s="20">
        <f>P$2*M5</f>
        <v>316.2032085561498</v>
      </c>
      <c r="Q5" s="20">
        <f>SUM(N5:P5)</f>
        <v>2940.385347593584</v>
      </c>
      <c r="R5" s="109">
        <v>2361</v>
      </c>
    </row>
    <row r="6" spans="10:19" ht="12.75">
      <c r="J6" s="2" t="s">
        <v>7</v>
      </c>
      <c r="K6" s="2"/>
      <c r="L6" s="2">
        <f aca="true" t="shared" si="0" ref="L6:Q6">L4-L5</f>
        <v>6044.399999999994</v>
      </c>
      <c r="M6" s="21">
        <f t="shared" si="0"/>
        <v>21.080213903743328</v>
      </c>
      <c r="N6" s="22">
        <f t="shared" si="0"/>
        <v>604.4399999999991</v>
      </c>
      <c r="O6" s="22">
        <f t="shared" si="0"/>
        <v>42.160427807486656</v>
      </c>
      <c r="P6" s="22">
        <f t="shared" si="0"/>
        <v>63.240641711229955</v>
      </c>
      <c r="Q6" s="23">
        <f t="shared" si="0"/>
        <v>709.8410695187154</v>
      </c>
      <c r="R6" s="27">
        <f>R5-R4</f>
        <v>491</v>
      </c>
      <c r="S6">
        <v>12</v>
      </c>
    </row>
    <row r="9" spans="1:19" ht="39" thickBot="1">
      <c r="A9" s="30" t="s">
        <v>40</v>
      </c>
      <c r="B9" s="15"/>
      <c r="C9" s="15"/>
      <c r="D9" s="15"/>
      <c r="E9" s="15"/>
      <c r="F9" s="16" t="s">
        <v>41</v>
      </c>
      <c r="G9" s="15" t="s">
        <v>42</v>
      </c>
      <c r="H9" s="15"/>
      <c r="I9" s="16" t="s">
        <v>43</v>
      </c>
      <c r="J9" s="17" t="s">
        <v>33</v>
      </c>
      <c r="K9" s="17"/>
      <c r="L9" s="17" t="s">
        <v>44</v>
      </c>
      <c r="M9" s="17" t="s">
        <v>35</v>
      </c>
      <c r="N9" s="17" t="s">
        <v>36</v>
      </c>
      <c r="O9" s="17" t="s">
        <v>37</v>
      </c>
      <c r="P9" s="17" t="s">
        <v>38</v>
      </c>
      <c r="Q9" s="17" t="s">
        <v>39</v>
      </c>
      <c r="R9" s="17" t="s">
        <v>182</v>
      </c>
      <c r="S9" s="17" t="s">
        <v>175</v>
      </c>
    </row>
    <row r="10" spans="1:18" ht="12.75">
      <c r="A10" s="18" t="s">
        <v>57</v>
      </c>
      <c r="F10">
        <v>3</v>
      </c>
      <c r="G10">
        <v>2</v>
      </c>
      <c r="I10" s="19">
        <f>(J10*8.334*70/0.7)/100000</f>
        <v>3.00024</v>
      </c>
      <c r="J10">
        <f>F10*60*G10</f>
        <v>360</v>
      </c>
      <c r="L10" s="24">
        <f>$L$2*I10</f>
        <v>1095.0875999999998</v>
      </c>
      <c r="M10" s="19">
        <f>$L$2*J10/748</f>
        <v>175.66844919786095</v>
      </c>
      <c r="N10" s="20">
        <f>M$2*L10</f>
        <v>1095.0875999999998</v>
      </c>
      <c r="O10" s="20">
        <f>O$2*M10</f>
        <v>351.3368983957219</v>
      </c>
      <c r="P10" s="20">
        <f>P$2*M10</f>
        <v>527.0053475935829</v>
      </c>
      <c r="Q10" s="20">
        <f>SUM(N10:P10)</f>
        <v>1973.4298459893046</v>
      </c>
      <c r="R10" s="109">
        <v>50</v>
      </c>
    </row>
    <row r="11" spans="1:18" ht="12.75">
      <c r="A11" t="s">
        <v>56</v>
      </c>
      <c r="F11">
        <v>1.6</v>
      </c>
      <c r="G11">
        <v>2</v>
      </c>
      <c r="I11" s="19">
        <f>(J11*8.334*70/0.7)/100000</f>
        <v>1.6001279999999998</v>
      </c>
      <c r="J11">
        <f>F11*60*G11</f>
        <v>192</v>
      </c>
      <c r="L11" s="24">
        <f>$L$2*I11</f>
        <v>584.0467199999999</v>
      </c>
      <c r="M11" s="19">
        <f>$L$2*J11/748</f>
        <v>93.68983957219251</v>
      </c>
      <c r="N11" s="20">
        <f>M$2*L11</f>
        <v>584.0467199999999</v>
      </c>
      <c r="O11" s="20">
        <f>O$2*M11</f>
        <v>187.37967914438502</v>
      </c>
      <c r="P11" s="20">
        <f>P$2*M11</f>
        <v>281.06951871657753</v>
      </c>
      <c r="Q11" s="20">
        <f>SUM(N11:P11)</f>
        <v>1052.4959178609624</v>
      </c>
      <c r="R11" s="109">
        <v>60</v>
      </c>
    </row>
    <row r="12" spans="10:19" ht="12.75">
      <c r="J12" s="2" t="s">
        <v>7</v>
      </c>
      <c r="K12" s="2"/>
      <c r="L12" s="21">
        <f aca="true" t="shared" si="1" ref="L12:Q12">L10-L11</f>
        <v>511.0408799999999</v>
      </c>
      <c r="M12" s="21">
        <f t="shared" si="1"/>
        <v>81.97860962566844</v>
      </c>
      <c r="N12" s="22">
        <f t="shared" si="1"/>
        <v>511.0408799999999</v>
      </c>
      <c r="O12" s="22">
        <f t="shared" si="1"/>
        <v>163.95721925133688</v>
      </c>
      <c r="P12" s="22">
        <f t="shared" si="1"/>
        <v>245.93582887700535</v>
      </c>
      <c r="Q12" s="23">
        <f t="shared" si="1"/>
        <v>920.9339281283421</v>
      </c>
      <c r="R12" s="27">
        <f>R11-R10</f>
        <v>10</v>
      </c>
      <c r="S12">
        <v>8</v>
      </c>
    </row>
    <row r="13" spans="10:17" ht="12.75">
      <c r="J13" s="2"/>
      <c r="K13" s="2"/>
      <c r="L13" s="2"/>
      <c r="M13" s="21"/>
      <c r="N13" s="22"/>
      <c r="O13" s="22"/>
      <c r="P13" s="22"/>
      <c r="Q13" s="27"/>
    </row>
    <row r="14" spans="9:17" ht="12.75">
      <c r="I14" s="19"/>
      <c r="L14" s="24"/>
      <c r="M14" s="19"/>
      <c r="N14" s="20"/>
      <c r="O14" s="20"/>
      <c r="P14" s="20"/>
      <c r="Q14" s="20"/>
    </row>
    <row r="15" spans="1:19" ht="51.75" thickBot="1">
      <c r="A15" s="30" t="s">
        <v>140</v>
      </c>
      <c r="B15" s="16"/>
      <c r="C15" s="16" t="s">
        <v>149</v>
      </c>
      <c r="D15" s="16" t="s">
        <v>46</v>
      </c>
      <c r="E15" s="16" t="s">
        <v>65</v>
      </c>
      <c r="F15" s="16" t="s">
        <v>66</v>
      </c>
      <c r="G15" s="15" t="s">
        <v>42</v>
      </c>
      <c r="H15" s="16" t="s">
        <v>64</v>
      </c>
      <c r="I15" s="17" t="s">
        <v>32</v>
      </c>
      <c r="J15" s="17" t="s">
        <v>33</v>
      </c>
      <c r="K15" s="17" t="s">
        <v>67</v>
      </c>
      <c r="L15" s="17" t="s">
        <v>34</v>
      </c>
      <c r="M15" s="17" t="s">
        <v>35</v>
      </c>
      <c r="N15" s="17" t="s">
        <v>36</v>
      </c>
      <c r="O15" s="17" t="s">
        <v>37</v>
      </c>
      <c r="P15" s="17" t="s">
        <v>38</v>
      </c>
      <c r="Q15" s="17" t="s">
        <v>39</v>
      </c>
      <c r="R15" s="17" t="s">
        <v>182</v>
      </c>
      <c r="S15" s="17" t="s">
        <v>175</v>
      </c>
    </row>
    <row r="16" spans="1:18" ht="12.75">
      <c r="A16" t="s">
        <v>54</v>
      </c>
      <c r="C16">
        <v>0.237</v>
      </c>
      <c r="D16" s="19">
        <v>1.9</v>
      </c>
      <c r="E16">
        <v>450</v>
      </c>
      <c r="F16">
        <v>1.2</v>
      </c>
      <c r="G16">
        <v>12</v>
      </c>
      <c r="H16" s="19">
        <f>I16/G16</f>
        <v>14.464144254938548</v>
      </c>
      <c r="I16" s="19">
        <f>L16/L2</f>
        <v>173.56973105926258</v>
      </c>
      <c r="J16" s="19">
        <f>F16*E16</f>
        <v>540</v>
      </c>
      <c r="K16" s="19">
        <f>(J16*8.334*70/0.7)/100000</f>
        <v>4.50036</v>
      </c>
      <c r="L16" s="19">
        <f>(C16*E16*$L$2)+(D16*6*$L$2)+(J16*$L$2*8.334*40/0.95)/3413</f>
        <v>63352.95183663084</v>
      </c>
      <c r="M16" s="19">
        <f>$L$2*J16/748</f>
        <v>263.50267379679144</v>
      </c>
      <c r="N16" s="20">
        <f>((N$2*L16)+(K16*$M$2))</f>
        <v>6339.795543663085</v>
      </c>
      <c r="O16" s="20">
        <f>O$2*M16</f>
        <v>527.0053475935829</v>
      </c>
      <c r="P16" s="20">
        <f>P$2*M16</f>
        <v>790.5080213903743</v>
      </c>
      <c r="Q16" s="20">
        <f>SUM(N16:P16)</f>
        <v>7657.308912647042</v>
      </c>
      <c r="R16" s="109">
        <v>6379</v>
      </c>
    </row>
    <row r="17" spans="1:18" ht="12.75">
      <c r="A17" t="s">
        <v>122</v>
      </c>
      <c r="B17" s="24"/>
      <c r="C17">
        <v>0.237</v>
      </c>
      <c r="D17" s="19">
        <v>1.4</v>
      </c>
      <c r="E17">
        <v>450</v>
      </c>
      <c r="F17">
        <v>0.8</v>
      </c>
      <c r="G17">
        <v>12</v>
      </c>
      <c r="H17" s="19">
        <f>I17/G17</f>
        <v>12.671929503292366</v>
      </c>
      <c r="I17" s="19">
        <f>L17/L2</f>
        <v>152.0631540395084</v>
      </c>
      <c r="J17" s="19">
        <f>F17*E17</f>
        <v>360</v>
      </c>
      <c r="K17" s="19">
        <f>(J17*8.334*70/0.7)/100000</f>
        <v>3.00024</v>
      </c>
      <c r="L17" s="19">
        <f>(C17*E17*$L$2)+(D17*6*$L$2)+(J17*$L$2*8.334*40/0.95)/3413</f>
        <v>55503.05122442056</v>
      </c>
      <c r="M17" s="19">
        <f>$L$2*J17/748</f>
        <v>175.66844919786095</v>
      </c>
      <c r="N17" s="20">
        <f>((N$2*L17)+(K17*$M$2))</f>
        <v>5553.305362442056</v>
      </c>
      <c r="O17" s="20">
        <f>O$2*M17</f>
        <v>351.3368983957219</v>
      </c>
      <c r="P17" s="20">
        <f>P$2*M17</f>
        <v>527.0053475935829</v>
      </c>
      <c r="Q17" s="20">
        <f>SUM(N17:P17)</f>
        <v>6431.647608431361</v>
      </c>
      <c r="R17" s="109">
        <v>7059</v>
      </c>
    </row>
    <row r="18" spans="10:19" ht="12.75">
      <c r="J18" s="2" t="s">
        <v>7</v>
      </c>
      <c r="K18" s="2"/>
      <c r="L18" s="21">
        <f aca="true" t="shared" si="2" ref="L18:Q18">L16-L17</f>
        <v>7849.90061221028</v>
      </c>
      <c r="M18" s="21">
        <f t="shared" si="2"/>
        <v>87.83422459893049</v>
      </c>
      <c r="N18" s="22">
        <f t="shared" si="2"/>
        <v>786.4901812210283</v>
      </c>
      <c r="O18" s="22">
        <f t="shared" si="2"/>
        <v>175.66844919786098</v>
      </c>
      <c r="P18" s="22">
        <f t="shared" si="2"/>
        <v>263.50267379679144</v>
      </c>
      <c r="Q18" s="23">
        <f t="shared" si="2"/>
        <v>1225.6613042156814</v>
      </c>
      <c r="R18" s="27">
        <f>R17-R16</f>
        <v>680</v>
      </c>
      <c r="S18">
        <v>12</v>
      </c>
    </row>
    <row r="22" spans="1:19" ht="39" thickBot="1">
      <c r="A22" s="30" t="s">
        <v>15</v>
      </c>
      <c r="B22" s="16" t="s">
        <v>45</v>
      </c>
      <c r="C22" s="16"/>
      <c r="D22" s="16" t="s">
        <v>46</v>
      </c>
      <c r="E22" s="16"/>
      <c r="F22" s="16" t="s">
        <v>47</v>
      </c>
      <c r="G22" s="15" t="s">
        <v>42</v>
      </c>
      <c r="H22" s="16" t="s">
        <v>64</v>
      </c>
      <c r="I22" s="17" t="s">
        <v>32</v>
      </c>
      <c r="J22" s="17" t="s">
        <v>33</v>
      </c>
      <c r="K22" s="17"/>
      <c r="L22" s="17" t="s">
        <v>34</v>
      </c>
      <c r="M22" s="17" t="s">
        <v>35</v>
      </c>
      <c r="N22" s="17" t="s">
        <v>36</v>
      </c>
      <c r="O22" s="17" t="s">
        <v>37</v>
      </c>
      <c r="P22" s="17" t="s">
        <v>38</v>
      </c>
      <c r="Q22" s="17" t="s">
        <v>39</v>
      </c>
      <c r="R22" s="17" t="s">
        <v>182</v>
      </c>
      <c r="S22" s="17" t="s">
        <v>175</v>
      </c>
    </row>
    <row r="23" spans="1:18" ht="12.75">
      <c r="A23" t="s">
        <v>54</v>
      </c>
      <c r="B23">
        <v>26</v>
      </c>
      <c r="D23">
        <v>1</v>
      </c>
      <c r="F23">
        <v>40</v>
      </c>
      <c r="G23">
        <v>12</v>
      </c>
      <c r="H23">
        <v>3.49</v>
      </c>
      <c r="I23" s="19">
        <f>H23*G23</f>
        <v>41.88</v>
      </c>
      <c r="J23">
        <f>F23*G23</f>
        <v>480</v>
      </c>
      <c r="L23">
        <f>$L$2*I23</f>
        <v>15286.2</v>
      </c>
      <c r="M23" s="19">
        <f>$L$2*J23/748</f>
        <v>234.22459893048128</v>
      </c>
      <c r="N23" s="20">
        <f>N$2*L23</f>
        <v>1528.6200000000001</v>
      </c>
      <c r="O23" s="20">
        <f>O$2*M23</f>
        <v>468.44919786096256</v>
      </c>
      <c r="P23" s="20">
        <f>P$2*M23</f>
        <v>702.6737967914438</v>
      </c>
      <c r="Q23" s="20">
        <f>SUM(N23:P23)</f>
        <v>2699.7429946524067</v>
      </c>
      <c r="R23" s="109">
        <v>2834</v>
      </c>
    </row>
    <row r="24" spans="1:18" ht="12.75">
      <c r="A24" t="s">
        <v>55</v>
      </c>
      <c r="B24" s="24">
        <v>50</v>
      </c>
      <c r="C24" s="24"/>
      <c r="D24" s="24">
        <v>0.4</v>
      </c>
      <c r="E24" s="24"/>
      <c r="F24">
        <v>3</v>
      </c>
      <c r="G24">
        <v>12</v>
      </c>
      <c r="H24">
        <v>0.96</v>
      </c>
      <c r="I24" s="19">
        <f>H24*G24</f>
        <v>11.52</v>
      </c>
      <c r="J24">
        <f>F24*G24</f>
        <v>36</v>
      </c>
      <c r="L24">
        <f>$L$2*I24</f>
        <v>4204.8</v>
      </c>
      <c r="M24" s="19">
        <f>$L$2*J24/748</f>
        <v>17.566844919786096</v>
      </c>
      <c r="N24" s="20">
        <f>N$2*L24</f>
        <v>420.48</v>
      </c>
      <c r="O24" s="20">
        <f>O$2*M24</f>
        <v>35.13368983957219</v>
      </c>
      <c r="P24" s="20">
        <f>P$2*M24</f>
        <v>52.70053475935829</v>
      </c>
      <c r="Q24" s="20">
        <f>SUM(N24:P24)</f>
        <v>508.3142245989305</v>
      </c>
      <c r="R24" s="109">
        <v>4909</v>
      </c>
    </row>
    <row r="25" spans="10:19" ht="12.75">
      <c r="J25" s="2" t="s">
        <v>7</v>
      </c>
      <c r="K25" s="2"/>
      <c r="L25" s="2">
        <f aca="true" t="shared" si="3" ref="L25:Q25">L23-L24</f>
        <v>11081.400000000001</v>
      </c>
      <c r="M25" s="21">
        <f t="shared" si="3"/>
        <v>216.6577540106952</v>
      </c>
      <c r="N25" s="22">
        <f t="shared" si="3"/>
        <v>1108.14</v>
      </c>
      <c r="O25" s="22">
        <f t="shared" si="3"/>
        <v>433.3155080213904</v>
      </c>
      <c r="P25" s="22">
        <f t="shared" si="3"/>
        <v>649.9732620320855</v>
      </c>
      <c r="Q25" s="23">
        <f t="shared" si="3"/>
        <v>2191.428770053476</v>
      </c>
      <c r="R25" s="27">
        <f>R24-R23</f>
        <v>2075</v>
      </c>
      <c r="S25">
        <v>6</v>
      </c>
    </row>
    <row r="27" ht="12.75">
      <c r="I27" s="24"/>
    </row>
    <row r="28" spans="1:19" ht="39" thickBot="1">
      <c r="A28" s="29" t="s">
        <v>12</v>
      </c>
      <c r="B28" s="16" t="s">
        <v>45</v>
      </c>
      <c r="C28" s="16"/>
      <c r="D28" s="16" t="s">
        <v>48</v>
      </c>
      <c r="E28" s="16"/>
      <c r="F28" s="16"/>
      <c r="G28" s="15" t="s">
        <v>42</v>
      </c>
      <c r="H28" s="16" t="s">
        <v>63</v>
      </c>
      <c r="I28" s="17" t="s">
        <v>49</v>
      </c>
      <c r="J28" s="17"/>
      <c r="K28" s="17"/>
      <c r="L28" s="17" t="s">
        <v>44</v>
      </c>
      <c r="M28" s="17"/>
      <c r="N28" s="17" t="s">
        <v>36</v>
      </c>
      <c r="O28" s="17"/>
      <c r="P28" s="17"/>
      <c r="Q28" s="17" t="s">
        <v>39</v>
      </c>
      <c r="R28" s="17" t="s">
        <v>182</v>
      </c>
      <c r="S28" s="17" t="s">
        <v>175</v>
      </c>
    </row>
    <row r="29" spans="1:18" ht="12.75">
      <c r="A29" s="18" t="s">
        <v>54</v>
      </c>
      <c r="B29">
        <v>35</v>
      </c>
      <c r="D29">
        <v>16000</v>
      </c>
      <c r="G29">
        <v>12</v>
      </c>
      <c r="H29" s="28">
        <v>0.267</v>
      </c>
      <c r="I29" s="19">
        <f>H29*G29</f>
        <v>3.204</v>
      </c>
      <c r="L29" s="24">
        <f>$L$2*I29</f>
        <v>1169.46</v>
      </c>
      <c r="N29" s="20">
        <f>M$2*L29</f>
        <v>1169.46</v>
      </c>
      <c r="Q29" s="20">
        <f>SUM(N29:P29)</f>
        <v>1169.46</v>
      </c>
      <c r="R29" s="109">
        <v>2200</v>
      </c>
    </row>
    <row r="30" spans="1:18" ht="12.75">
      <c r="A30" t="s">
        <v>55</v>
      </c>
      <c r="B30">
        <v>50</v>
      </c>
      <c r="D30">
        <v>9000</v>
      </c>
      <c r="G30">
        <v>12</v>
      </c>
      <c r="H30">
        <v>0.184</v>
      </c>
      <c r="I30" s="19">
        <f>H30*G30</f>
        <v>2.208</v>
      </c>
      <c r="L30" s="24">
        <f>$L$2*I30</f>
        <v>805.9200000000001</v>
      </c>
      <c r="N30" s="20">
        <f>M$2*L30</f>
        <v>805.9200000000001</v>
      </c>
      <c r="Q30" s="20">
        <f>SUM(N30:P30)</f>
        <v>805.9200000000001</v>
      </c>
      <c r="R30" s="109">
        <v>3300</v>
      </c>
    </row>
    <row r="31" spans="9:19" ht="12.75">
      <c r="I31">
        <f>D29*G29/100000</f>
        <v>1.92</v>
      </c>
      <c r="J31" s="2" t="s">
        <v>7</v>
      </c>
      <c r="K31" s="2"/>
      <c r="L31" s="2">
        <f aca="true" t="shared" si="4" ref="L31:Q31">L29-L30</f>
        <v>363.53999999999996</v>
      </c>
      <c r="M31" s="21">
        <f t="shared" si="4"/>
        <v>0</v>
      </c>
      <c r="N31" s="22">
        <f t="shared" si="4"/>
        <v>363.53999999999996</v>
      </c>
      <c r="O31" s="22">
        <f t="shared" si="4"/>
        <v>0</v>
      </c>
      <c r="P31" s="22">
        <f t="shared" si="4"/>
        <v>0</v>
      </c>
      <c r="Q31" s="23">
        <f t="shared" si="4"/>
        <v>363.53999999999996</v>
      </c>
      <c r="R31" s="27">
        <f>R30-R29</f>
        <v>1100</v>
      </c>
      <c r="S31">
        <v>10</v>
      </c>
    </row>
    <row r="33" spans="1:19" ht="39" thickBot="1">
      <c r="A33" s="33" t="s">
        <v>13</v>
      </c>
      <c r="B33" s="16"/>
      <c r="C33" s="16"/>
      <c r="D33" s="16" t="s">
        <v>48</v>
      </c>
      <c r="E33" s="16"/>
      <c r="F33" s="16"/>
      <c r="G33" s="15" t="s">
        <v>42</v>
      </c>
      <c r="H33" s="16" t="s">
        <v>63</v>
      </c>
      <c r="I33" s="17" t="s">
        <v>49</v>
      </c>
      <c r="J33" s="17"/>
      <c r="K33" s="17"/>
      <c r="L33" s="17" t="s">
        <v>44</v>
      </c>
      <c r="M33" s="17"/>
      <c r="N33" s="17" t="s">
        <v>36</v>
      </c>
      <c r="O33" s="17"/>
      <c r="P33" s="17"/>
      <c r="Q33" s="17" t="s">
        <v>39</v>
      </c>
      <c r="R33" s="17" t="s">
        <v>182</v>
      </c>
      <c r="S33" s="17" t="s">
        <v>175</v>
      </c>
    </row>
    <row r="34" spans="1:18" ht="12.75">
      <c r="A34" s="43" t="s">
        <v>54</v>
      </c>
      <c r="D34">
        <v>80000</v>
      </c>
      <c r="G34">
        <v>12</v>
      </c>
      <c r="H34">
        <v>0.808</v>
      </c>
      <c r="I34" s="19">
        <f>H34*G34</f>
        <v>9.696000000000002</v>
      </c>
      <c r="L34" s="24">
        <f>$L$2*I34</f>
        <v>3539.0400000000004</v>
      </c>
      <c r="N34" s="20">
        <f>M$2*L34</f>
        <v>3539.0400000000004</v>
      </c>
      <c r="Q34" s="20">
        <f>SUM(N34:P34)</f>
        <v>3539.0400000000004</v>
      </c>
      <c r="R34" s="132">
        <v>2300</v>
      </c>
    </row>
    <row r="35" spans="1:18" ht="12.75">
      <c r="A35" s="44" t="s">
        <v>4</v>
      </c>
      <c r="D35">
        <v>65000</v>
      </c>
      <c r="G35">
        <v>12</v>
      </c>
      <c r="H35">
        <v>0.658</v>
      </c>
      <c r="I35" s="19">
        <f>H35*G35</f>
        <v>7.896000000000001</v>
      </c>
      <c r="L35" s="24">
        <f>$L$2*I35</f>
        <v>2882.0400000000004</v>
      </c>
      <c r="N35" s="20">
        <f>M$2*L35</f>
        <v>2882.0400000000004</v>
      </c>
      <c r="Q35" s="20">
        <f>SUM(N35:P35)</f>
        <v>2882.0400000000004</v>
      </c>
      <c r="R35" s="132">
        <v>2500</v>
      </c>
    </row>
    <row r="36" spans="10:19" ht="12.75">
      <c r="J36" s="2" t="s">
        <v>7</v>
      </c>
      <c r="K36" s="2"/>
      <c r="L36" s="2">
        <f aca="true" t="shared" si="5" ref="L36:Q36">L34-L35</f>
        <v>657</v>
      </c>
      <c r="M36" s="21">
        <f t="shared" si="5"/>
        <v>0</v>
      </c>
      <c r="N36" s="22">
        <f t="shared" si="5"/>
        <v>657</v>
      </c>
      <c r="O36" s="22">
        <f t="shared" si="5"/>
        <v>0</v>
      </c>
      <c r="P36" s="22">
        <f t="shared" si="5"/>
        <v>0</v>
      </c>
      <c r="Q36" s="23">
        <f t="shared" si="5"/>
        <v>657</v>
      </c>
      <c r="R36" s="27">
        <f>R35-R34</f>
        <v>200</v>
      </c>
      <c r="S36">
        <v>10</v>
      </c>
    </row>
    <row r="40" spans="1:19" ht="39" thickBot="1">
      <c r="A40" s="29" t="s">
        <v>11</v>
      </c>
      <c r="B40" s="16" t="s">
        <v>45</v>
      </c>
      <c r="C40" s="16"/>
      <c r="D40" s="16" t="s">
        <v>48</v>
      </c>
      <c r="E40" s="16"/>
      <c r="F40" s="16"/>
      <c r="G40" s="15" t="s">
        <v>42</v>
      </c>
      <c r="H40" s="16" t="s">
        <v>63</v>
      </c>
      <c r="I40" s="17" t="s">
        <v>49</v>
      </c>
      <c r="J40" s="17"/>
      <c r="K40" s="17"/>
      <c r="L40" s="17" t="s">
        <v>44</v>
      </c>
      <c r="M40" s="17"/>
      <c r="N40" s="17" t="s">
        <v>36</v>
      </c>
      <c r="O40" s="17"/>
      <c r="P40" s="17"/>
      <c r="Q40" s="17" t="s">
        <v>39</v>
      </c>
      <c r="R40" s="17" t="s">
        <v>182</v>
      </c>
      <c r="S40" s="17" t="s">
        <v>175</v>
      </c>
    </row>
    <row r="41" spans="1:18" ht="12.75">
      <c r="A41" s="18" t="s">
        <v>54</v>
      </c>
      <c r="B41">
        <v>32</v>
      </c>
      <c r="D41">
        <v>18000</v>
      </c>
      <c r="G41">
        <v>12</v>
      </c>
      <c r="H41">
        <v>0.255</v>
      </c>
      <c r="I41" s="19">
        <f>H41*G41</f>
        <v>3.06</v>
      </c>
      <c r="L41" s="24">
        <f>$L$2*I41</f>
        <v>1116.9</v>
      </c>
      <c r="N41" s="20">
        <f>M$2*L41</f>
        <v>1116.9</v>
      </c>
      <c r="Q41" s="20">
        <f>SUM(N41:P41)</f>
        <v>1116.9</v>
      </c>
      <c r="R41" s="109">
        <v>2000</v>
      </c>
    </row>
    <row r="42" spans="1:18" ht="12.75">
      <c r="A42" t="s">
        <v>4</v>
      </c>
      <c r="B42">
        <v>40</v>
      </c>
      <c r="D42">
        <v>16000</v>
      </c>
      <c r="G42">
        <v>12</v>
      </c>
      <c r="H42">
        <v>0.241</v>
      </c>
      <c r="I42" s="19">
        <f>H42*G42</f>
        <v>2.892</v>
      </c>
      <c r="L42" s="24">
        <f>$L$2*I42</f>
        <v>1055.58</v>
      </c>
      <c r="N42" s="20">
        <f>M$2*L42</f>
        <v>1055.58</v>
      </c>
      <c r="Q42" s="20">
        <f>SUM(N42:P42)</f>
        <v>1055.58</v>
      </c>
      <c r="R42" s="109">
        <v>3165</v>
      </c>
    </row>
    <row r="43" spans="10:19" ht="12.75">
      <c r="J43" s="2" t="s">
        <v>7</v>
      </c>
      <c r="K43" s="2"/>
      <c r="L43" s="2">
        <f aca="true" t="shared" si="6" ref="L43:Q43">L41-L42</f>
        <v>61.320000000000164</v>
      </c>
      <c r="M43" s="21">
        <f t="shared" si="6"/>
        <v>0</v>
      </c>
      <c r="N43" s="22">
        <f t="shared" si="6"/>
        <v>61.320000000000164</v>
      </c>
      <c r="O43" s="22">
        <f t="shared" si="6"/>
        <v>0</v>
      </c>
      <c r="P43" s="22">
        <f t="shared" si="6"/>
        <v>0</v>
      </c>
      <c r="Q43" s="23">
        <f t="shared" si="6"/>
        <v>61.320000000000164</v>
      </c>
      <c r="R43" s="27">
        <f>R42-R41</f>
        <v>1165</v>
      </c>
      <c r="S43">
        <v>12</v>
      </c>
    </row>
    <row r="44" spans="10:17" ht="12.75">
      <c r="J44" s="2"/>
      <c r="K44" s="2"/>
      <c r="L44" s="2"/>
      <c r="M44" s="21"/>
      <c r="N44" s="22"/>
      <c r="O44" s="22"/>
      <c r="P44" s="22"/>
      <c r="Q44" s="27"/>
    </row>
    <row r="45" spans="10:17" ht="12.75">
      <c r="J45" s="2"/>
      <c r="K45" s="2"/>
      <c r="L45" s="2"/>
      <c r="M45" s="21"/>
      <c r="N45" s="22"/>
      <c r="O45" s="22"/>
      <c r="P45" s="22"/>
      <c r="Q45" s="27"/>
    </row>
    <row r="46" spans="1:19" ht="39" thickBot="1">
      <c r="A46" s="29" t="s">
        <v>16</v>
      </c>
      <c r="B46" s="16" t="s">
        <v>45</v>
      </c>
      <c r="C46" s="16"/>
      <c r="D46" s="16" t="s">
        <v>48</v>
      </c>
      <c r="E46" s="16"/>
      <c r="F46" s="16"/>
      <c r="G46" s="15" t="s">
        <v>42</v>
      </c>
      <c r="H46" s="16" t="s">
        <v>63</v>
      </c>
      <c r="I46" s="17" t="s">
        <v>49</v>
      </c>
      <c r="J46" s="17"/>
      <c r="K46" s="17"/>
      <c r="L46" s="17" t="s">
        <v>44</v>
      </c>
      <c r="M46" s="17"/>
      <c r="N46" s="17" t="s">
        <v>36</v>
      </c>
      <c r="O46" s="17"/>
      <c r="P46" s="17"/>
      <c r="Q46" s="17" t="s">
        <v>39</v>
      </c>
      <c r="R46" s="17" t="s">
        <v>182</v>
      </c>
      <c r="S46" s="17" t="s">
        <v>175</v>
      </c>
    </row>
    <row r="47" spans="1:18" ht="12.75">
      <c r="A47" s="18" t="s">
        <v>54</v>
      </c>
      <c r="B47">
        <v>30</v>
      </c>
      <c r="D47">
        <v>18000</v>
      </c>
      <c r="G47">
        <v>12</v>
      </c>
      <c r="H47" s="28">
        <v>0.24</v>
      </c>
      <c r="I47">
        <f>H47*G47</f>
        <v>2.88</v>
      </c>
      <c r="L47" s="24">
        <f>$L$2*I47</f>
        <v>1051.2</v>
      </c>
      <c r="N47" s="20">
        <f>M$2*L47</f>
        <v>1051.2</v>
      </c>
      <c r="Q47" s="20">
        <f>SUM(N47:P47)</f>
        <v>1051.2</v>
      </c>
      <c r="R47" s="109">
        <v>2862</v>
      </c>
    </row>
    <row r="48" spans="1:18" ht="12.75">
      <c r="A48" t="s">
        <v>55</v>
      </c>
      <c r="B48">
        <v>40</v>
      </c>
      <c r="D48">
        <v>12000</v>
      </c>
      <c r="G48">
        <v>12</v>
      </c>
      <c r="H48">
        <v>0.167</v>
      </c>
      <c r="I48">
        <f>H48*G48</f>
        <v>2.004</v>
      </c>
      <c r="L48" s="24">
        <f>$L$2*I48</f>
        <v>731.46</v>
      </c>
      <c r="N48" s="20">
        <f>M$2*L48</f>
        <v>731.46</v>
      </c>
      <c r="Q48" s="20">
        <f>SUM(N48:P48)</f>
        <v>731.46</v>
      </c>
      <c r="R48" s="109">
        <v>4433</v>
      </c>
    </row>
    <row r="49" spans="10:19" ht="12.75">
      <c r="J49" s="2" t="s">
        <v>7</v>
      </c>
      <c r="K49" s="2"/>
      <c r="L49" s="2">
        <f aca="true" t="shared" si="7" ref="L49:Q49">L47-L48</f>
        <v>319.74</v>
      </c>
      <c r="M49" s="21">
        <f t="shared" si="7"/>
        <v>0</v>
      </c>
      <c r="N49" s="22">
        <f t="shared" si="7"/>
        <v>319.74</v>
      </c>
      <c r="O49" s="22">
        <f t="shared" si="7"/>
        <v>0</v>
      </c>
      <c r="P49" s="22">
        <f t="shared" si="7"/>
        <v>0</v>
      </c>
      <c r="Q49" s="23">
        <f t="shared" si="7"/>
        <v>319.74</v>
      </c>
      <c r="R49" s="27">
        <f>R48-R47</f>
        <v>1571</v>
      </c>
      <c r="S49">
        <v>12</v>
      </c>
    </row>
    <row r="52" spans="1:19" ht="39" thickBot="1">
      <c r="A52" s="30" t="s">
        <v>50</v>
      </c>
      <c r="B52" s="16"/>
      <c r="C52" s="16"/>
      <c r="D52" s="16" t="s">
        <v>46</v>
      </c>
      <c r="E52" s="16"/>
      <c r="F52" s="16" t="s">
        <v>51</v>
      </c>
      <c r="G52" s="15" t="s">
        <v>42</v>
      </c>
      <c r="H52" s="15"/>
      <c r="I52" s="17" t="s">
        <v>32</v>
      </c>
      <c r="J52" s="17"/>
      <c r="K52" s="17"/>
      <c r="L52" s="17" t="s">
        <v>34</v>
      </c>
      <c r="M52" s="17"/>
      <c r="N52" s="17" t="s">
        <v>36</v>
      </c>
      <c r="O52" s="17"/>
      <c r="P52" s="17"/>
      <c r="Q52" s="17" t="s">
        <v>39</v>
      </c>
      <c r="R52" s="17" t="s">
        <v>182</v>
      </c>
      <c r="S52" s="17" t="s">
        <v>175</v>
      </c>
    </row>
    <row r="53" spans="1:18" ht="12.75">
      <c r="A53" s="43" t="s">
        <v>81</v>
      </c>
      <c r="D53">
        <v>3.3</v>
      </c>
      <c r="F53" s="8">
        <v>1</v>
      </c>
      <c r="G53">
        <v>8</v>
      </c>
      <c r="I53">
        <f>F53*D53*G53</f>
        <v>26.4</v>
      </c>
      <c r="L53">
        <f>$L$2*I53</f>
        <v>9636</v>
      </c>
      <c r="M53" s="19"/>
      <c r="N53" s="20">
        <f>N$2*L53</f>
        <v>963.6</v>
      </c>
      <c r="O53" s="20"/>
      <c r="P53" s="20"/>
      <c r="Q53" s="20">
        <f>SUM(N53:P53)</f>
        <v>963.6</v>
      </c>
      <c r="R53" s="109">
        <v>630</v>
      </c>
    </row>
    <row r="54" spans="1:18" ht="12.75">
      <c r="A54" s="44" t="s">
        <v>82</v>
      </c>
      <c r="B54" s="24"/>
      <c r="C54" s="24"/>
      <c r="D54" s="24">
        <v>5.6</v>
      </c>
      <c r="E54" s="24"/>
      <c r="F54" s="8">
        <f>((300/8)/60)/G54</f>
        <v>0.078125</v>
      </c>
      <c r="G54">
        <v>8</v>
      </c>
      <c r="I54">
        <f>F54*D54*G54</f>
        <v>3.5</v>
      </c>
      <c r="L54">
        <f>$L$2*I54</f>
        <v>1277.5</v>
      </c>
      <c r="M54" s="19"/>
      <c r="N54" s="20">
        <f>N$2*L54</f>
        <v>127.75</v>
      </c>
      <c r="O54" s="20"/>
      <c r="P54" s="20"/>
      <c r="Q54" s="20">
        <f>SUM(N54:P54)</f>
        <v>127.75</v>
      </c>
      <c r="R54" s="109">
        <v>415</v>
      </c>
    </row>
    <row r="55" spans="10:19" ht="12.75">
      <c r="J55" s="2" t="s">
        <v>7</v>
      </c>
      <c r="K55" s="2"/>
      <c r="L55" s="2">
        <f aca="true" t="shared" si="8" ref="L55:Q55">L53-L54</f>
        <v>8358.5</v>
      </c>
      <c r="M55" s="21">
        <f t="shared" si="8"/>
        <v>0</v>
      </c>
      <c r="N55" s="22">
        <f t="shared" si="8"/>
        <v>835.85</v>
      </c>
      <c r="O55" s="22">
        <f t="shared" si="8"/>
        <v>0</v>
      </c>
      <c r="P55" s="22">
        <f t="shared" si="8"/>
        <v>0</v>
      </c>
      <c r="Q55" s="23">
        <f t="shared" si="8"/>
        <v>835.85</v>
      </c>
      <c r="R55" s="110">
        <f>R54-R53</f>
        <v>-215</v>
      </c>
      <c r="S55">
        <v>6</v>
      </c>
    </row>
    <row r="58" spans="1:19" ht="39" thickBot="1">
      <c r="A58" s="33" t="s">
        <v>14</v>
      </c>
      <c r="B58" s="16"/>
      <c r="C58" s="16"/>
      <c r="D58" s="16" t="s">
        <v>48</v>
      </c>
      <c r="E58" s="16"/>
      <c r="F58" s="16"/>
      <c r="G58" s="15" t="s">
        <v>42</v>
      </c>
      <c r="H58" s="16" t="s">
        <v>63</v>
      </c>
      <c r="I58" s="17" t="s">
        <v>49</v>
      </c>
      <c r="J58" s="17"/>
      <c r="K58" s="17"/>
      <c r="L58" s="17" t="s">
        <v>44</v>
      </c>
      <c r="M58" s="17"/>
      <c r="N58" s="17" t="s">
        <v>36</v>
      </c>
      <c r="O58" s="17"/>
      <c r="P58" s="17"/>
      <c r="Q58" s="17" t="s">
        <v>39</v>
      </c>
      <c r="R58" s="17" t="s">
        <v>182</v>
      </c>
      <c r="S58" s="17" t="s">
        <v>175</v>
      </c>
    </row>
    <row r="59" spans="1:18" ht="12.75">
      <c r="A59" s="43" t="s">
        <v>54</v>
      </c>
      <c r="D59" s="31">
        <v>45000</v>
      </c>
      <c r="G59">
        <v>12</v>
      </c>
      <c r="H59">
        <v>0.808</v>
      </c>
      <c r="I59" s="19">
        <f>H59*G59</f>
        <v>9.696000000000002</v>
      </c>
      <c r="L59" s="24">
        <f>$L$2*I59</f>
        <v>3539.0400000000004</v>
      </c>
      <c r="N59" s="20">
        <f>M$2*L59</f>
        <v>3539.0400000000004</v>
      </c>
      <c r="Q59" s="20">
        <f>SUM(N59:P59)</f>
        <v>3539.0400000000004</v>
      </c>
      <c r="R59" s="109">
        <v>1342</v>
      </c>
    </row>
    <row r="60" spans="1:18" ht="12.75">
      <c r="A60" s="44" t="s">
        <v>4</v>
      </c>
      <c r="D60">
        <v>20000</v>
      </c>
      <c r="G60">
        <v>12</v>
      </c>
      <c r="H60">
        <v>0.658</v>
      </c>
      <c r="I60" s="19">
        <f>H60*G60</f>
        <v>7.896000000000001</v>
      </c>
      <c r="L60" s="24">
        <f>$L$2*I60</f>
        <v>2882.0400000000004</v>
      </c>
      <c r="N60" s="20">
        <f>M$2*L60</f>
        <v>2882.0400000000004</v>
      </c>
      <c r="Q60" s="20">
        <f>SUM(N60:P60)</f>
        <v>2882.0400000000004</v>
      </c>
      <c r="R60" s="109">
        <v>3835</v>
      </c>
    </row>
    <row r="61" spans="10:19" ht="12.75">
      <c r="J61" s="2" t="s">
        <v>7</v>
      </c>
      <c r="K61" s="2"/>
      <c r="L61" s="2">
        <f aca="true" t="shared" si="9" ref="L61:Q61">L59-L60</f>
        <v>657</v>
      </c>
      <c r="M61" s="21">
        <f t="shared" si="9"/>
        <v>0</v>
      </c>
      <c r="N61" s="22">
        <f t="shared" si="9"/>
        <v>657</v>
      </c>
      <c r="O61" s="22">
        <f t="shared" si="9"/>
        <v>0</v>
      </c>
      <c r="P61" s="22">
        <f t="shared" si="9"/>
        <v>0</v>
      </c>
      <c r="Q61" s="23">
        <f t="shared" si="9"/>
        <v>657</v>
      </c>
      <c r="R61" s="110">
        <f>R60-R59</f>
        <v>2493</v>
      </c>
      <c r="S61">
        <v>15</v>
      </c>
    </row>
    <row r="64" spans="1:19" ht="39" thickBot="1">
      <c r="A64" s="30" t="s">
        <v>52</v>
      </c>
      <c r="B64" s="16"/>
      <c r="C64" s="16" t="s">
        <v>150</v>
      </c>
      <c r="D64" s="16"/>
      <c r="E64" s="16"/>
      <c r="F64" s="16"/>
      <c r="G64" s="15"/>
      <c r="H64" s="15"/>
      <c r="I64" s="17" t="s">
        <v>32</v>
      </c>
      <c r="J64" s="17"/>
      <c r="K64" s="17"/>
      <c r="L64" s="17" t="s">
        <v>34</v>
      </c>
      <c r="M64" s="17"/>
      <c r="N64" s="17" t="s">
        <v>36</v>
      </c>
      <c r="O64" s="17"/>
      <c r="P64" s="17"/>
      <c r="Q64" s="17" t="s">
        <v>39</v>
      </c>
      <c r="R64" s="17" t="s">
        <v>182</v>
      </c>
      <c r="S64" s="17" t="s">
        <v>175</v>
      </c>
    </row>
    <row r="65" spans="1:18" ht="12.75">
      <c r="A65" s="18" t="s">
        <v>54</v>
      </c>
      <c r="C65" s="31">
        <v>10</v>
      </c>
      <c r="F65" s="8"/>
      <c r="I65" s="19">
        <f>(0.125*C65)+2.76</f>
        <v>4.01</v>
      </c>
      <c r="L65">
        <f>I65*365</f>
        <v>1463.6499999999999</v>
      </c>
      <c r="M65" s="19"/>
      <c r="N65" s="20">
        <f>N$2*L65</f>
        <v>146.36499999999998</v>
      </c>
      <c r="O65" s="20"/>
      <c r="P65" s="20"/>
      <c r="Q65" s="20">
        <f>SUM(N65:P65)</f>
        <v>146.36499999999998</v>
      </c>
      <c r="R65" s="109">
        <v>1516</v>
      </c>
    </row>
    <row r="66" spans="1:18" ht="12.75">
      <c r="A66" t="s">
        <v>61</v>
      </c>
      <c r="B66" s="24"/>
      <c r="C66" s="31">
        <v>10</v>
      </c>
      <c r="D66" s="24"/>
      <c r="E66" s="24"/>
      <c r="F66" s="8"/>
      <c r="I66" s="25">
        <f>(0.1*C66)+2.4</f>
        <v>3.4</v>
      </c>
      <c r="L66">
        <f>I66*365</f>
        <v>1241</v>
      </c>
      <c r="M66" s="19"/>
      <c r="N66" s="20">
        <f>N$2*L66</f>
        <v>124.10000000000001</v>
      </c>
      <c r="O66" s="20"/>
      <c r="P66" s="20"/>
      <c r="Q66" s="20">
        <f>SUM(N66:P66)</f>
        <v>124.10000000000001</v>
      </c>
      <c r="R66" s="109">
        <v>1625</v>
      </c>
    </row>
    <row r="67" spans="10:19" ht="12.75">
      <c r="J67" s="2" t="s">
        <v>7</v>
      </c>
      <c r="K67" s="2"/>
      <c r="L67" s="2">
        <f aca="true" t="shared" si="10" ref="L67:Q67">L65-L66</f>
        <v>222.64999999999986</v>
      </c>
      <c r="M67" s="21">
        <f t="shared" si="10"/>
        <v>0</v>
      </c>
      <c r="N67" s="22">
        <f t="shared" si="10"/>
        <v>22.264999999999972</v>
      </c>
      <c r="O67" s="22">
        <f t="shared" si="10"/>
        <v>0</v>
      </c>
      <c r="P67" s="22">
        <f t="shared" si="10"/>
        <v>0</v>
      </c>
      <c r="Q67" s="23">
        <f t="shared" si="10"/>
        <v>22.264999999999972</v>
      </c>
      <c r="R67" s="110">
        <f>R66-R65</f>
        <v>109</v>
      </c>
      <c r="S67">
        <v>12</v>
      </c>
    </row>
    <row r="70" spans="1:19" ht="39" thickBot="1">
      <c r="A70" s="30" t="s">
        <v>53</v>
      </c>
      <c r="B70" s="16"/>
      <c r="C70" s="16" t="s">
        <v>150</v>
      </c>
      <c r="D70" s="16"/>
      <c r="E70" s="16"/>
      <c r="F70" s="16"/>
      <c r="G70" s="15"/>
      <c r="H70" s="15"/>
      <c r="I70" s="17" t="s">
        <v>32</v>
      </c>
      <c r="J70" s="17"/>
      <c r="K70" s="17"/>
      <c r="L70" s="17" t="s">
        <v>34</v>
      </c>
      <c r="M70" s="17"/>
      <c r="N70" s="17" t="s">
        <v>36</v>
      </c>
      <c r="O70" s="17"/>
      <c r="P70" s="17"/>
      <c r="Q70" s="17" t="s">
        <v>39</v>
      </c>
      <c r="R70" s="17" t="s">
        <v>182</v>
      </c>
      <c r="S70" s="17" t="s">
        <v>175</v>
      </c>
    </row>
    <row r="71" spans="1:18" ht="12.75">
      <c r="A71" s="18" t="s">
        <v>54</v>
      </c>
      <c r="C71" s="31">
        <v>10</v>
      </c>
      <c r="F71" s="8"/>
      <c r="I71" s="19">
        <f>(0.398*C71)+2.28</f>
        <v>6.26</v>
      </c>
      <c r="L71">
        <f>I71*365</f>
        <v>2284.9</v>
      </c>
      <c r="M71" s="19"/>
      <c r="N71" s="20">
        <f>N$2*L71</f>
        <v>228.49</v>
      </c>
      <c r="O71" s="20"/>
      <c r="P71" s="20"/>
      <c r="Q71" s="20">
        <f>SUM(N71:P71)</f>
        <v>228.49</v>
      </c>
      <c r="R71" s="109">
        <v>2944</v>
      </c>
    </row>
    <row r="72" spans="1:18" ht="12.75">
      <c r="A72" t="s">
        <v>61</v>
      </c>
      <c r="B72" s="24"/>
      <c r="C72" s="31">
        <v>10</v>
      </c>
      <c r="D72" s="24"/>
      <c r="E72" s="24"/>
      <c r="F72" s="8"/>
      <c r="I72" s="25">
        <f>(0.4*C72)+1.38</f>
        <v>5.38</v>
      </c>
      <c r="L72">
        <f>I72*365</f>
        <v>1963.7</v>
      </c>
      <c r="M72" s="19"/>
      <c r="N72" s="20">
        <f>N$2*L72</f>
        <v>196.37</v>
      </c>
      <c r="O72" s="20"/>
      <c r="P72" s="20"/>
      <c r="Q72" s="20">
        <f>SUM(N72:P72)</f>
        <v>196.37</v>
      </c>
      <c r="R72" s="109">
        <v>3435</v>
      </c>
    </row>
    <row r="73" spans="10:19" ht="12.75">
      <c r="J73" s="2" t="s">
        <v>7</v>
      </c>
      <c r="K73" s="2"/>
      <c r="L73" s="2">
        <f aca="true" t="shared" si="11" ref="L73:Q73">L71-L72</f>
        <v>321.20000000000005</v>
      </c>
      <c r="M73" s="21">
        <f t="shared" si="11"/>
        <v>0</v>
      </c>
      <c r="N73" s="22">
        <f t="shared" si="11"/>
        <v>32.120000000000005</v>
      </c>
      <c r="O73" s="22">
        <f t="shared" si="11"/>
        <v>0</v>
      </c>
      <c r="P73" s="22">
        <f t="shared" si="11"/>
        <v>0</v>
      </c>
      <c r="Q73" s="23">
        <f t="shared" si="11"/>
        <v>32.120000000000005</v>
      </c>
      <c r="R73" s="110">
        <f>R72-R71</f>
        <v>491</v>
      </c>
      <c r="S73">
        <v>12</v>
      </c>
    </row>
    <row r="74" spans="10:17" ht="12.75">
      <c r="J74" s="2"/>
      <c r="K74" s="2"/>
      <c r="L74" s="2"/>
      <c r="M74" s="21"/>
      <c r="N74" s="22"/>
      <c r="O74" s="22"/>
      <c r="P74" s="22"/>
      <c r="Q74" s="27"/>
    </row>
    <row r="75" spans="10:17" ht="12.75">
      <c r="J75" s="2"/>
      <c r="K75" s="2"/>
      <c r="L75" s="2"/>
      <c r="M75" s="21"/>
      <c r="N75" s="22"/>
      <c r="O75" s="22"/>
      <c r="P75" s="22"/>
      <c r="Q75" s="27"/>
    </row>
    <row r="76" spans="1:19" ht="39" thickBot="1">
      <c r="A76" s="30" t="s">
        <v>72</v>
      </c>
      <c r="B76" s="16"/>
      <c r="C76" s="16" t="s">
        <v>150</v>
      </c>
      <c r="D76" s="16"/>
      <c r="E76" s="16"/>
      <c r="F76" s="16"/>
      <c r="G76" s="15"/>
      <c r="H76" s="16"/>
      <c r="I76" s="17" t="s">
        <v>32</v>
      </c>
      <c r="J76" s="17"/>
      <c r="K76" s="17"/>
      <c r="L76" s="17" t="s">
        <v>34</v>
      </c>
      <c r="M76" s="17"/>
      <c r="N76" s="17" t="s">
        <v>36</v>
      </c>
      <c r="O76" s="17"/>
      <c r="P76" s="17"/>
      <c r="Q76" s="17" t="s">
        <v>39</v>
      </c>
      <c r="R76" s="17" t="s">
        <v>182</v>
      </c>
      <c r="S76" s="17" t="s">
        <v>175</v>
      </c>
    </row>
    <row r="77" spans="1:18" ht="12.75">
      <c r="A77" s="18" t="s">
        <v>54</v>
      </c>
      <c r="C77" s="31">
        <v>24</v>
      </c>
      <c r="F77" s="8"/>
      <c r="I77" s="19">
        <f>(0.172*C77)+4.77</f>
        <v>8.898</v>
      </c>
      <c r="L77">
        <f>I77*365</f>
        <v>3247.77</v>
      </c>
      <c r="M77" s="19"/>
      <c r="N77" s="20">
        <f>N$2*L77</f>
        <v>324.77700000000004</v>
      </c>
      <c r="O77" s="20"/>
      <c r="P77" s="20"/>
      <c r="Q77" s="20">
        <f>SUM(N77:P77)</f>
        <v>324.77700000000004</v>
      </c>
      <c r="R77" s="109">
        <v>2995</v>
      </c>
    </row>
    <row r="78" spans="1:18" ht="12.75">
      <c r="A78" t="s">
        <v>61</v>
      </c>
      <c r="B78" s="24"/>
      <c r="C78" s="31">
        <v>24</v>
      </c>
      <c r="D78" s="24"/>
      <c r="E78" s="24"/>
      <c r="F78" s="8"/>
      <c r="I78" s="25">
        <f>(0.086*C78)+2.39</f>
        <v>4.454000000000001</v>
      </c>
      <c r="L78">
        <f>I78*365</f>
        <v>1625.7100000000003</v>
      </c>
      <c r="M78" s="19"/>
      <c r="N78" s="20">
        <f>N$2*L78</f>
        <v>162.57100000000003</v>
      </c>
      <c r="O78" s="20"/>
      <c r="P78" s="20"/>
      <c r="Q78" s="20">
        <f>SUM(N78:P78)</f>
        <v>162.57100000000003</v>
      </c>
      <c r="R78" s="109">
        <v>3915</v>
      </c>
    </row>
    <row r="79" spans="10:19" ht="12.75">
      <c r="J79" s="2" t="s">
        <v>7</v>
      </c>
      <c r="K79" s="2"/>
      <c r="L79" s="2">
        <f aca="true" t="shared" si="12" ref="L79:Q79">L77-L78</f>
        <v>1622.0599999999997</v>
      </c>
      <c r="M79" s="21">
        <f t="shared" si="12"/>
        <v>0</v>
      </c>
      <c r="N79" s="22">
        <f t="shared" si="12"/>
        <v>162.20600000000002</v>
      </c>
      <c r="O79" s="22">
        <f t="shared" si="12"/>
        <v>0</v>
      </c>
      <c r="P79" s="22">
        <f t="shared" si="12"/>
        <v>0</v>
      </c>
      <c r="Q79" s="23">
        <f t="shared" si="12"/>
        <v>162.20600000000002</v>
      </c>
      <c r="R79" s="110">
        <f>R78-R77</f>
        <v>920</v>
      </c>
      <c r="S79">
        <v>12</v>
      </c>
    </row>
    <row r="82" spans="1:19" ht="39" thickBot="1">
      <c r="A82" s="30" t="s">
        <v>58</v>
      </c>
      <c r="B82" s="16"/>
      <c r="C82" s="16" t="s">
        <v>150</v>
      </c>
      <c r="D82" s="16"/>
      <c r="E82" s="16"/>
      <c r="F82" s="16"/>
      <c r="G82" s="15"/>
      <c r="H82" s="16"/>
      <c r="I82" s="17" t="s">
        <v>32</v>
      </c>
      <c r="J82" s="17"/>
      <c r="K82" s="17"/>
      <c r="L82" s="17" t="s">
        <v>34</v>
      </c>
      <c r="M82" s="17"/>
      <c r="N82" s="17" t="s">
        <v>36</v>
      </c>
      <c r="O82" s="17"/>
      <c r="P82" s="17"/>
      <c r="Q82" s="17" t="s">
        <v>39</v>
      </c>
      <c r="R82" s="17" t="s">
        <v>182</v>
      </c>
      <c r="S82" s="17" t="s">
        <v>175</v>
      </c>
    </row>
    <row r="83" spans="1:18" ht="12.75">
      <c r="A83" s="18" t="s">
        <v>54</v>
      </c>
      <c r="C83" s="31">
        <v>24</v>
      </c>
      <c r="F83" s="8"/>
      <c r="I83">
        <f>(0.125*C83)+2.76</f>
        <v>5.76</v>
      </c>
      <c r="L83">
        <f>I83*365</f>
        <v>2102.4</v>
      </c>
      <c r="M83" s="19"/>
      <c r="N83" s="20">
        <f>N$2*L83</f>
        <v>210.24</v>
      </c>
      <c r="O83" s="20"/>
      <c r="P83" s="20"/>
      <c r="Q83" s="20">
        <f>SUM(N83:P83)</f>
        <v>210.24</v>
      </c>
      <c r="R83" s="109">
        <v>2290</v>
      </c>
    </row>
    <row r="84" spans="1:18" ht="12.75">
      <c r="A84" t="s">
        <v>61</v>
      </c>
      <c r="B84" s="24"/>
      <c r="C84" s="31">
        <v>24</v>
      </c>
      <c r="D84" s="24"/>
      <c r="E84" s="24"/>
      <c r="F84" s="8"/>
      <c r="I84" s="25">
        <f>(0.06*C84)+1.22</f>
        <v>2.66</v>
      </c>
      <c r="L84">
        <f>I84*365</f>
        <v>970.9000000000001</v>
      </c>
      <c r="M84" s="19"/>
      <c r="N84" s="20">
        <f>N$2*L84</f>
        <v>97.09000000000002</v>
      </c>
      <c r="O84" s="20"/>
      <c r="P84" s="20"/>
      <c r="Q84" s="20">
        <f>SUM(N84:P84)</f>
        <v>97.09000000000002</v>
      </c>
      <c r="R84" s="109">
        <v>3439</v>
      </c>
    </row>
    <row r="85" spans="10:19" ht="12.75">
      <c r="J85" s="2" t="s">
        <v>7</v>
      </c>
      <c r="K85" s="2"/>
      <c r="L85" s="2">
        <f aca="true" t="shared" si="13" ref="L85:Q85">L83-L84</f>
        <v>1131.5</v>
      </c>
      <c r="M85" s="21">
        <f t="shared" si="13"/>
        <v>0</v>
      </c>
      <c r="N85" s="22">
        <f t="shared" si="13"/>
        <v>113.14999999999999</v>
      </c>
      <c r="O85" s="22">
        <f t="shared" si="13"/>
        <v>0</v>
      </c>
      <c r="P85" s="22">
        <f t="shared" si="13"/>
        <v>0</v>
      </c>
      <c r="Q85" s="23">
        <f t="shared" si="13"/>
        <v>113.14999999999999</v>
      </c>
      <c r="R85" s="110">
        <f>R84-R83</f>
        <v>1149</v>
      </c>
      <c r="S85">
        <v>12</v>
      </c>
    </row>
    <row r="88" spans="1:19" ht="39" thickBot="1">
      <c r="A88" s="30" t="s">
        <v>59</v>
      </c>
      <c r="B88" s="16"/>
      <c r="C88" s="16" t="s">
        <v>150</v>
      </c>
      <c r="D88" s="16"/>
      <c r="E88" s="16"/>
      <c r="F88" s="16"/>
      <c r="G88" s="15"/>
      <c r="H88" s="15"/>
      <c r="I88" s="17" t="s">
        <v>32</v>
      </c>
      <c r="J88" s="17"/>
      <c r="K88" s="17"/>
      <c r="L88" s="17" t="s">
        <v>34</v>
      </c>
      <c r="M88" s="17"/>
      <c r="N88" s="17" t="s">
        <v>36</v>
      </c>
      <c r="O88" s="17"/>
      <c r="P88" s="17"/>
      <c r="Q88" s="17" t="s">
        <v>39</v>
      </c>
      <c r="R88" s="17" t="s">
        <v>182</v>
      </c>
      <c r="S88" s="17" t="s">
        <v>175</v>
      </c>
    </row>
    <row r="89" spans="1:18" ht="12.75">
      <c r="A89" s="18" t="s">
        <v>54</v>
      </c>
      <c r="C89" s="31">
        <v>24</v>
      </c>
      <c r="F89" s="8"/>
      <c r="I89" s="25">
        <f>(0.398*C89)+2.28</f>
        <v>11.831999999999999</v>
      </c>
      <c r="L89">
        <f>I89*365</f>
        <v>4318.679999999999</v>
      </c>
      <c r="M89" s="19"/>
      <c r="N89" s="20">
        <f>N$2*L89</f>
        <v>431.86799999999994</v>
      </c>
      <c r="O89" s="20"/>
      <c r="P89" s="20"/>
      <c r="Q89" s="20">
        <f>SUM(N89:P89)</f>
        <v>431.86799999999994</v>
      </c>
      <c r="R89" s="109">
        <v>4240</v>
      </c>
    </row>
    <row r="90" spans="1:18" ht="12.75">
      <c r="A90" t="s">
        <v>61</v>
      </c>
      <c r="B90" s="24"/>
      <c r="C90" s="31">
        <v>24</v>
      </c>
      <c r="D90" s="24"/>
      <c r="E90" s="24"/>
      <c r="F90" s="8"/>
      <c r="I90" s="25">
        <f>(0.28*C90)+0.97</f>
        <v>7.69</v>
      </c>
      <c r="L90">
        <f>I90*365</f>
        <v>2806.8500000000004</v>
      </c>
      <c r="M90" s="19"/>
      <c r="N90" s="20">
        <f>N$2*L90</f>
        <v>280.68500000000006</v>
      </c>
      <c r="O90" s="20"/>
      <c r="P90" s="20"/>
      <c r="Q90" s="20">
        <f>SUM(N90:P90)</f>
        <v>280.68500000000006</v>
      </c>
      <c r="R90" s="109">
        <v>4773</v>
      </c>
    </row>
    <row r="91" spans="10:19" ht="12.75">
      <c r="J91" s="2" t="s">
        <v>7</v>
      </c>
      <c r="K91" s="2"/>
      <c r="L91" s="2">
        <f aca="true" t="shared" si="14" ref="L91:Q91">L89-L90</f>
        <v>1511.829999999999</v>
      </c>
      <c r="M91" s="21">
        <f t="shared" si="14"/>
        <v>0</v>
      </c>
      <c r="N91" s="22">
        <f t="shared" si="14"/>
        <v>151.18299999999988</v>
      </c>
      <c r="O91" s="22">
        <f t="shared" si="14"/>
        <v>0</v>
      </c>
      <c r="P91" s="22">
        <f t="shared" si="14"/>
        <v>0</v>
      </c>
      <c r="Q91" s="23">
        <f t="shared" si="14"/>
        <v>151.18299999999988</v>
      </c>
      <c r="R91" s="110">
        <f>R90-R89</f>
        <v>533</v>
      </c>
      <c r="S91">
        <v>12</v>
      </c>
    </row>
    <row r="95" spans="1:19" ht="39" thickBot="1">
      <c r="A95" s="30" t="s">
        <v>151</v>
      </c>
      <c r="B95" s="16"/>
      <c r="C95" s="16"/>
      <c r="D95" s="16"/>
      <c r="E95" s="16"/>
      <c r="F95" s="16"/>
      <c r="G95" s="15"/>
      <c r="H95" s="15"/>
      <c r="I95" s="17" t="s">
        <v>32</v>
      </c>
      <c r="J95" s="17"/>
      <c r="K95" s="17"/>
      <c r="L95" s="17" t="s">
        <v>34</v>
      </c>
      <c r="M95" s="17"/>
      <c r="N95" s="17" t="s">
        <v>36</v>
      </c>
      <c r="O95" s="17"/>
      <c r="P95" s="17"/>
      <c r="Q95" s="17" t="s">
        <v>39</v>
      </c>
      <c r="R95" s="17" t="s">
        <v>182</v>
      </c>
      <c r="S95" s="17" t="s">
        <v>175</v>
      </c>
    </row>
    <row r="96" spans="1:18" ht="12.75">
      <c r="A96" s="18" t="s">
        <v>54</v>
      </c>
      <c r="C96" t="s">
        <v>169</v>
      </c>
      <c r="F96" s="8"/>
      <c r="I96" s="25">
        <v>3.24</v>
      </c>
      <c r="L96">
        <f>I96*365</f>
        <v>1182.6000000000001</v>
      </c>
      <c r="M96" s="19"/>
      <c r="N96" s="20">
        <f>N$2*L96</f>
        <v>118.26000000000002</v>
      </c>
      <c r="O96" s="20"/>
      <c r="P96" s="20"/>
      <c r="Q96" s="20">
        <f>SUM(N96:P96)</f>
        <v>118.26000000000002</v>
      </c>
      <c r="R96" s="109">
        <v>80</v>
      </c>
    </row>
    <row r="97" spans="1:18" ht="12.75">
      <c r="A97" t="s">
        <v>60</v>
      </c>
      <c r="B97" s="24"/>
      <c r="C97" s="24"/>
      <c r="D97" s="24"/>
      <c r="E97" s="24"/>
      <c r="F97" s="8"/>
      <c r="I97" s="26">
        <v>1.06</v>
      </c>
      <c r="L97">
        <f>I97*365</f>
        <v>386.90000000000003</v>
      </c>
      <c r="M97" s="19"/>
      <c r="N97" s="20">
        <f>N$2*L97</f>
        <v>38.690000000000005</v>
      </c>
      <c r="O97" s="20"/>
      <c r="P97" s="20"/>
      <c r="Q97" s="20">
        <f>SUM(N97:P97)</f>
        <v>38.690000000000005</v>
      </c>
      <c r="R97" s="109">
        <v>300</v>
      </c>
    </row>
    <row r="98" spans="10:19" ht="12.75">
      <c r="J98" s="2" t="s">
        <v>7</v>
      </c>
      <c r="K98" s="2"/>
      <c r="L98" s="2">
        <f aca="true" t="shared" si="15" ref="L98:Q98">L96-L97</f>
        <v>795.7</v>
      </c>
      <c r="M98" s="21">
        <f t="shared" si="15"/>
        <v>0</v>
      </c>
      <c r="N98" s="22">
        <f t="shared" si="15"/>
        <v>79.57000000000002</v>
      </c>
      <c r="O98" s="22">
        <f t="shared" si="15"/>
        <v>0</v>
      </c>
      <c r="P98" s="22">
        <f t="shared" si="15"/>
        <v>0</v>
      </c>
      <c r="Q98" s="23">
        <f t="shared" si="15"/>
        <v>79.57000000000002</v>
      </c>
      <c r="R98" s="110">
        <f>R97-R96</f>
        <v>220</v>
      </c>
      <c r="S98">
        <v>12</v>
      </c>
    </row>
    <row r="99" spans="10:17" ht="12.75">
      <c r="J99" s="2"/>
      <c r="K99" s="2"/>
      <c r="L99" s="2"/>
      <c r="M99" s="21"/>
      <c r="N99" s="22"/>
      <c r="O99" s="22"/>
      <c r="P99" s="22"/>
      <c r="Q99" s="27"/>
    </row>
    <row r="100" spans="10:17" ht="12.75">
      <c r="J100" s="2"/>
      <c r="K100" s="2"/>
      <c r="L100" s="2"/>
      <c r="M100" s="21"/>
      <c r="N100" s="22"/>
      <c r="O100" s="22"/>
      <c r="P100" s="22"/>
      <c r="Q100" s="27"/>
    </row>
    <row r="102" spans="1:19" ht="39" thickBot="1">
      <c r="A102" s="30" t="s">
        <v>19</v>
      </c>
      <c r="B102" s="16"/>
      <c r="C102" s="16"/>
      <c r="D102" s="16"/>
      <c r="E102" s="16"/>
      <c r="F102" s="16"/>
      <c r="G102" s="15"/>
      <c r="H102" s="16" t="s">
        <v>64</v>
      </c>
      <c r="I102" s="17" t="s">
        <v>32</v>
      </c>
      <c r="J102" s="17"/>
      <c r="K102" s="17"/>
      <c r="L102" s="17" t="s">
        <v>34</v>
      </c>
      <c r="M102" s="17"/>
      <c r="N102" s="17" t="s">
        <v>36</v>
      </c>
      <c r="O102" s="17"/>
      <c r="P102" s="17"/>
      <c r="Q102" s="17" t="s">
        <v>39</v>
      </c>
      <c r="R102" s="17" t="s">
        <v>182</v>
      </c>
      <c r="S102" s="17" t="s">
        <v>175</v>
      </c>
    </row>
    <row r="103" spans="1:18" ht="12.75">
      <c r="A103" s="18" t="s">
        <v>54</v>
      </c>
      <c r="C103" s="31"/>
      <c r="F103" s="8"/>
      <c r="H103" s="19">
        <v>0.463</v>
      </c>
      <c r="I103" s="25">
        <f>H103*24</f>
        <v>11.112</v>
      </c>
      <c r="L103">
        <f>I103*365</f>
        <v>4055.88</v>
      </c>
      <c r="M103" s="19"/>
      <c r="N103" s="20">
        <f>N$2*L103</f>
        <v>405.588</v>
      </c>
      <c r="O103" s="20"/>
      <c r="P103" s="20"/>
      <c r="Q103" s="20">
        <f>SUM(N103:P103)</f>
        <v>405.588</v>
      </c>
      <c r="R103" s="109">
        <v>1800</v>
      </c>
    </row>
    <row r="104" spans="1:18" ht="12.75">
      <c r="A104" t="s">
        <v>4</v>
      </c>
      <c r="B104" s="24"/>
      <c r="C104" s="31"/>
      <c r="D104" s="24"/>
      <c r="E104" s="24"/>
      <c r="F104" s="8"/>
      <c r="H104" s="19">
        <v>0.208</v>
      </c>
      <c r="I104" s="25">
        <f>H104*24</f>
        <v>4.992</v>
      </c>
      <c r="L104">
        <f>I104*365</f>
        <v>1822.08</v>
      </c>
      <c r="M104" s="19"/>
      <c r="N104" s="20">
        <f>N$2*L104</f>
        <v>182.208</v>
      </c>
      <c r="O104" s="20"/>
      <c r="P104" s="20"/>
      <c r="Q104" s="20">
        <f>SUM(N104:P104)</f>
        <v>182.208</v>
      </c>
      <c r="R104" s="109">
        <v>2000</v>
      </c>
    </row>
    <row r="105" spans="10:19" ht="12.75">
      <c r="J105" s="2" t="s">
        <v>7</v>
      </c>
      <c r="K105" s="2"/>
      <c r="L105" s="2">
        <f aca="true" t="shared" si="16" ref="L105:Q105">L103-L104</f>
        <v>2233.8</v>
      </c>
      <c r="M105" s="21">
        <f t="shared" si="16"/>
        <v>0</v>
      </c>
      <c r="N105" s="22">
        <f t="shared" si="16"/>
        <v>223.38000000000002</v>
      </c>
      <c r="O105" s="22">
        <f t="shared" si="16"/>
        <v>0</v>
      </c>
      <c r="P105" s="22">
        <f t="shared" si="16"/>
        <v>0</v>
      </c>
      <c r="Q105" s="23">
        <f t="shared" si="16"/>
        <v>223.38000000000002</v>
      </c>
      <c r="R105" s="27">
        <f>R104-R103</f>
        <v>200</v>
      </c>
      <c r="S105">
        <v>12</v>
      </c>
    </row>
    <row r="108" spans="1:19" ht="39" thickBot="1">
      <c r="A108" s="30" t="s">
        <v>68</v>
      </c>
      <c r="B108" s="16" t="s">
        <v>70</v>
      </c>
      <c r="C108" s="16"/>
      <c r="D108" s="16"/>
      <c r="E108" s="16"/>
      <c r="F108" s="16"/>
      <c r="G108" s="15" t="s">
        <v>42</v>
      </c>
      <c r="H108" s="16" t="s">
        <v>64</v>
      </c>
      <c r="I108" s="17" t="s">
        <v>32</v>
      </c>
      <c r="J108" s="17"/>
      <c r="K108" s="17"/>
      <c r="L108" s="17" t="s">
        <v>34</v>
      </c>
      <c r="M108" s="17"/>
      <c r="N108" s="17" t="s">
        <v>36</v>
      </c>
      <c r="O108" s="17"/>
      <c r="P108" s="17"/>
      <c r="Q108" s="17" t="s">
        <v>39</v>
      </c>
      <c r="R108" s="17" t="s">
        <v>182</v>
      </c>
      <c r="S108" s="17" t="s">
        <v>175</v>
      </c>
    </row>
    <row r="109" spans="1:18" ht="12.75">
      <c r="A109" s="18" t="s">
        <v>54</v>
      </c>
      <c r="B109" s="31">
        <v>20</v>
      </c>
      <c r="C109" s="31"/>
      <c r="F109" s="8"/>
      <c r="G109">
        <v>15</v>
      </c>
      <c r="H109" s="19">
        <v>1.4</v>
      </c>
      <c r="I109" s="25">
        <f>H109*G109</f>
        <v>21</v>
      </c>
      <c r="L109">
        <f>I109*365</f>
        <v>7665</v>
      </c>
      <c r="M109" s="19"/>
      <c r="N109" s="20">
        <f>N$2*L109</f>
        <v>766.5</v>
      </c>
      <c r="O109" s="20"/>
      <c r="P109" s="20"/>
      <c r="Q109" s="20">
        <f>SUM(N109:P109)</f>
        <v>766.5</v>
      </c>
      <c r="R109" s="109">
        <v>1891</v>
      </c>
    </row>
    <row r="110" spans="1:18" ht="12.75">
      <c r="A110" t="s">
        <v>55</v>
      </c>
      <c r="B110" s="31">
        <v>20</v>
      </c>
      <c r="C110" s="31"/>
      <c r="D110" s="24"/>
      <c r="E110" s="24"/>
      <c r="F110" s="8"/>
      <c r="G110">
        <v>15</v>
      </c>
      <c r="H110" s="19">
        <v>0.8</v>
      </c>
      <c r="I110" s="25">
        <f>H110*G110</f>
        <v>12</v>
      </c>
      <c r="L110" s="19">
        <f>I110*365</f>
        <v>4380</v>
      </c>
      <c r="M110" s="19"/>
      <c r="N110" s="20">
        <f>N$2*L110</f>
        <v>438</v>
      </c>
      <c r="O110" s="20"/>
      <c r="P110" s="20"/>
      <c r="Q110" s="20">
        <f>SUM(N110:P110)</f>
        <v>438</v>
      </c>
      <c r="R110" s="109">
        <v>3467</v>
      </c>
    </row>
    <row r="111" spans="10:19" ht="12.75">
      <c r="J111" s="2" t="s">
        <v>7</v>
      </c>
      <c r="K111" s="2"/>
      <c r="L111" s="2">
        <f aca="true" t="shared" si="17" ref="L111:Q111">L109-L110</f>
        <v>3285</v>
      </c>
      <c r="M111" s="21">
        <f t="shared" si="17"/>
        <v>0</v>
      </c>
      <c r="N111" s="22">
        <f t="shared" si="17"/>
        <v>328.5</v>
      </c>
      <c r="O111" s="22">
        <f t="shared" si="17"/>
        <v>0</v>
      </c>
      <c r="P111" s="22">
        <f t="shared" si="17"/>
        <v>0</v>
      </c>
      <c r="Q111" s="23">
        <f t="shared" si="17"/>
        <v>328.5</v>
      </c>
      <c r="R111" s="27">
        <f>R110-R109</f>
        <v>1576</v>
      </c>
      <c r="S111">
        <v>12</v>
      </c>
    </row>
    <row r="114" spans="1:19" ht="39" thickBot="1">
      <c r="A114" s="30" t="s">
        <v>17</v>
      </c>
      <c r="B114" s="16" t="s">
        <v>45</v>
      </c>
      <c r="C114" s="16"/>
      <c r="D114" s="16" t="s">
        <v>46</v>
      </c>
      <c r="E114" s="16"/>
      <c r="F114" s="16" t="s">
        <v>47</v>
      </c>
      <c r="G114" s="15" t="s">
        <v>42</v>
      </c>
      <c r="H114" s="16" t="s">
        <v>64</v>
      </c>
      <c r="I114" s="17" t="s">
        <v>32</v>
      </c>
      <c r="J114" s="17" t="s">
        <v>33</v>
      </c>
      <c r="K114" s="17"/>
      <c r="L114" s="17" t="s">
        <v>34</v>
      </c>
      <c r="M114" s="17" t="s">
        <v>35</v>
      </c>
      <c r="N114" s="17" t="s">
        <v>36</v>
      </c>
      <c r="O114" s="17" t="s">
        <v>37</v>
      </c>
      <c r="P114" s="17" t="s">
        <v>38</v>
      </c>
      <c r="Q114" s="17" t="s">
        <v>39</v>
      </c>
      <c r="R114" s="17" t="s">
        <v>182</v>
      </c>
      <c r="S114" s="17" t="s">
        <v>175</v>
      </c>
    </row>
    <row r="115" spans="1:18" ht="12.75">
      <c r="A115" t="s">
        <v>54</v>
      </c>
      <c r="B115" s="31">
        <v>40</v>
      </c>
      <c r="D115">
        <v>7.5</v>
      </c>
      <c r="F115">
        <v>30</v>
      </c>
      <c r="G115">
        <v>12</v>
      </c>
      <c r="H115">
        <v>7.5</v>
      </c>
      <c r="I115" s="19">
        <f>H115*G115</f>
        <v>90</v>
      </c>
      <c r="J115">
        <f>F115*G115</f>
        <v>360</v>
      </c>
      <c r="L115">
        <f>$L$2*I115</f>
        <v>32850</v>
      </c>
      <c r="M115" s="19">
        <f>$L$2*J115/748</f>
        <v>175.66844919786095</v>
      </c>
      <c r="N115" s="20">
        <f>N$2*L115</f>
        <v>3285</v>
      </c>
      <c r="O115" s="20">
        <f>O$2*M115</f>
        <v>351.3368983957219</v>
      </c>
      <c r="P115" s="20">
        <f>P$2*M115</f>
        <v>527.0053475935829</v>
      </c>
      <c r="Q115" s="20">
        <f>SUM(N115:P115)</f>
        <v>4163.3422459893045</v>
      </c>
      <c r="R115" s="109">
        <v>3608</v>
      </c>
    </row>
    <row r="116" spans="1:18" ht="12.75">
      <c r="A116" t="s">
        <v>4</v>
      </c>
      <c r="B116" s="31">
        <v>60</v>
      </c>
      <c r="C116" s="24"/>
      <c r="D116" s="24">
        <v>3</v>
      </c>
      <c r="E116" s="24"/>
      <c r="F116">
        <v>20</v>
      </c>
      <c r="G116">
        <v>12</v>
      </c>
      <c r="H116">
        <v>4.59</v>
      </c>
      <c r="I116" s="19">
        <f>H116*G116</f>
        <v>55.08</v>
      </c>
      <c r="J116">
        <f>F116*G116</f>
        <v>240</v>
      </c>
      <c r="L116">
        <f>$L$2*I116</f>
        <v>20104.2</v>
      </c>
      <c r="M116" s="19">
        <f>$L$2*J116/748</f>
        <v>117.11229946524064</v>
      </c>
      <c r="N116" s="20">
        <f>N$2*L116</f>
        <v>2010.42</v>
      </c>
      <c r="O116" s="20">
        <f>O$2*M116</f>
        <v>234.22459893048128</v>
      </c>
      <c r="P116" s="20">
        <f>P$2*M116</f>
        <v>351.3368983957219</v>
      </c>
      <c r="Q116" s="20">
        <f>SUM(N116:P116)</f>
        <v>2595.981497326203</v>
      </c>
      <c r="R116" s="109">
        <v>12050</v>
      </c>
    </row>
    <row r="117" spans="10:19" ht="12.75">
      <c r="J117" s="2" t="s">
        <v>7</v>
      </c>
      <c r="K117" s="2"/>
      <c r="L117" s="2">
        <f aca="true" t="shared" si="18" ref="L117:Q117">L115-L116</f>
        <v>12745.8</v>
      </c>
      <c r="M117" s="21">
        <f t="shared" si="18"/>
        <v>58.55614973262031</v>
      </c>
      <c r="N117" s="22">
        <f t="shared" si="18"/>
        <v>1274.58</v>
      </c>
      <c r="O117" s="22">
        <f t="shared" si="18"/>
        <v>117.11229946524062</v>
      </c>
      <c r="P117" s="22">
        <f t="shared" si="18"/>
        <v>175.66844919786098</v>
      </c>
      <c r="Q117" s="23">
        <f t="shared" si="18"/>
        <v>1567.3607486631013</v>
      </c>
      <c r="R117" s="27">
        <f>R116-R115</f>
        <v>8442</v>
      </c>
      <c r="S117">
        <v>10</v>
      </c>
    </row>
    <row r="120" spans="1:19" ht="39" thickBot="1">
      <c r="A120" s="29" t="s">
        <v>71</v>
      </c>
      <c r="B120" s="16" t="s">
        <v>99</v>
      </c>
      <c r="C120" s="16"/>
      <c r="D120" s="16" t="s">
        <v>48</v>
      </c>
      <c r="E120" s="16" t="s">
        <v>80</v>
      </c>
      <c r="F120" s="16" t="s">
        <v>147</v>
      </c>
      <c r="G120" s="15" t="s">
        <v>42</v>
      </c>
      <c r="H120" s="16" t="s">
        <v>63</v>
      </c>
      <c r="I120" s="17" t="s">
        <v>49</v>
      </c>
      <c r="J120" s="17" t="s">
        <v>33</v>
      </c>
      <c r="K120" s="17"/>
      <c r="L120" s="17" t="s">
        <v>44</v>
      </c>
      <c r="M120" s="17" t="s">
        <v>35</v>
      </c>
      <c r="N120" s="17" t="s">
        <v>36</v>
      </c>
      <c r="O120" s="17" t="s">
        <v>37</v>
      </c>
      <c r="P120" s="17" t="s">
        <v>38</v>
      </c>
      <c r="Q120" s="17" t="s">
        <v>39</v>
      </c>
      <c r="R120" s="17" t="s">
        <v>182</v>
      </c>
      <c r="S120" s="17" t="s">
        <v>175</v>
      </c>
    </row>
    <row r="121" spans="1:18" ht="12.75">
      <c r="A121" s="18" t="s">
        <v>54</v>
      </c>
      <c r="B121">
        <v>66</v>
      </c>
      <c r="E121">
        <v>70</v>
      </c>
      <c r="F121">
        <v>140</v>
      </c>
      <c r="G121">
        <v>24</v>
      </c>
      <c r="H121" s="19">
        <f>I121/G121</f>
        <v>0.739030303030303</v>
      </c>
      <c r="I121" s="19">
        <f>L121/L$2</f>
        <v>17.736727272727272</v>
      </c>
      <c r="J121">
        <v>2000</v>
      </c>
      <c r="L121" s="24">
        <f>(1*J121*0.134*62.4*365*(F121-E121))/(0.01*B121)/100000</f>
        <v>6473.905454545454</v>
      </c>
      <c r="M121" s="19">
        <f>$L$2*J121/748</f>
        <v>975.9358288770053</v>
      </c>
      <c r="N121" s="20">
        <f>M$2*L121</f>
        <v>6473.905454545454</v>
      </c>
      <c r="O121" s="20">
        <f>O$2*M121</f>
        <v>1951.8716577540106</v>
      </c>
      <c r="P121" s="20">
        <f>P$2*M121</f>
        <v>2927.8074866310158</v>
      </c>
      <c r="Q121" s="20">
        <f>SUM(N121:P121)</f>
        <v>11353.58459893048</v>
      </c>
      <c r="R121" s="109">
        <v>3000</v>
      </c>
    </row>
    <row r="122" spans="1:18" ht="12.75">
      <c r="A122" t="s">
        <v>73</v>
      </c>
      <c r="B122" s="34">
        <v>78</v>
      </c>
      <c r="E122">
        <v>70</v>
      </c>
      <c r="F122">
        <v>140</v>
      </c>
      <c r="G122">
        <v>24</v>
      </c>
      <c r="H122" s="19">
        <f>I122/G122</f>
        <v>0.6253333333333334</v>
      </c>
      <c r="I122" s="19">
        <f>L122/L$2</f>
        <v>15.008000000000001</v>
      </c>
      <c r="J122">
        <v>2000</v>
      </c>
      <c r="L122" s="24">
        <f>(1*J122*0.134*62.4*365*(F122-E122))/(0.01*B122)/100000</f>
        <v>5477.92</v>
      </c>
      <c r="M122" s="19">
        <f>$L$2*J122/748</f>
        <v>975.9358288770053</v>
      </c>
      <c r="N122" s="20">
        <f>M$2*L122</f>
        <v>5477.92</v>
      </c>
      <c r="O122" s="20">
        <f>O$2*M122</f>
        <v>1951.8716577540106</v>
      </c>
      <c r="P122" s="20">
        <f>P$2*M122</f>
        <v>2927.8074866310158</v>
      </c>
      <c r="Q122" s="20">
        <f>SUM(N122:P122)</f>
        <v>10357.599144385027</v>
      </c>
      <c r="R122" s="109">
        <v>6000</v>
      </c>
    </row>
    <row r="123" spans="10:19" ht="12.75">
      <c r="J123" s="2" t="s">
        <v>7</v>
      </c>
      <c r="K123" s="2"/>
      <c r="L123" s="35">
        <f aca="true" t="shared" si="19" ref="L123:Q123">L121-L122</f>
        <v>995.9854545454536</v>
      </c>
      <c r="M123" s="21">
        <f t="shared" si="19"/>
        <v>0</v>
      </c>
      <c r="N123" s="22">
        <f t="shared" si="19"/>
        <v>995.9854545454536</v>
      </c>
      <c r="O123" s="22">
        <f t="shared" si="19"/>
        <v>0</v>
      </c>
      <c r="P123" s="22">
        <f t="shared" si="19"/>
        <v>0</v>
      </c>
      <c r="Q123" s="23">
        <f t="shared" si="19"/>
        <v>995.9854545454527</v>
      </c>
      <c r="R123" s="27">
        <f>R122-R121</f>
        <v>3000</v>
      </c>
      <c r="S123">
        <v>10</v>
      </c>
    </row>
    <row r="126" spans="1:19" ht="39" thickBot="1">
      <c r="A126" s="30" t="s">
        <v>88</v>
      </c>
      <c r="B126" s="16" t="s">
        <v>89</v>
      </c>
      <c r="C126" s="16" t="s">
        <v>91</v>
      </c>
      <c r="D126" s="16" t="s">
        <v>78</v>
      </c>
      <c r="E126" s="16"/>
      <c r="F126" s="16" t="s">
        <v>98</v>
      </c>
      <c r="G126" s="15" t="s">
        <v>90</v>
      </c>
      <c r="H126" s="16" t="s">
        <v>64</v>
      </c>
      <c r="I126" s="17" t="s">
        <v>32</v>
      </c>
      <c r="J126" s="17"/>
      <c r="K126" s="17"/>
      <c r="L126" s="17" t="s">
        <v>34</v>
      </c>
      <c r="M126" s="17"/>
      <c r="N126" s="17" t="s">
        <v>36</v>
      </c>
      <c r="O126" s="17"/>
      <c r="P126" s="17"/>
      <c r="Q126" s="17" t="s">
        <v>39</v>
      </c>
      <c r="R126" s="17" t="s">
        <v>182</v>
      </c>
      <c r="S126" s="17" t="s">
        <v>175</v>
      </c>
    </row>
    <row r="127" spans="1:18" ht="12.75">
      <c r="A127" s="43" t="s">
        <v>95</v>
      </c>
      <c r="B127" t="s">
        <v>93</v>
      </c>
      <c r="C127" t="s">
        <v>148</v>
      </c>
      <c r="D127">
        <v>1</v>
      </c>
      <c r="F127" s="8"/>
      <c r="G127">
        <v>12</v>
      </c>
      <c r="H127" s="28">
        <f>D127*(68*1.15)/1000</f>
        <v>0.07819999999999999</v>
      </c>
      <c r="I127">
        <f>H127*G127</f>
        <v>0.9383999999999999</v>
      </c>
      <c r="L127" s="19">
        <f>$L$2*I127</f>
        <v>342.51599999999996</v>
      </c>
      <c r="M127" s="19"/>
      <c r="N127" s="20">
        <f>N$2*L127</f>
        <v>34.251599999999996</v>
      </c>
      <c r="O127" s="20"/>
      <c r="P127" s="20"/>
      <c r="Q127" s="20">
        <f>SUM(N127:P127)</f>
        <v>34.251599999999996</v>
      </c>
      <c r="R127" s="130">
        <v>5.99</v>
      </c>
    </row>
    <row r="128" spans="1:18" ht="12.75">
      <c r="A128" s="44"/>
      <c r="B128" s="24" t="s">
        <v>94</v>
      </c>
      <c r="C128" s="24" t="s">
        <v>92</v>
      </c>
      <c r="D128" s="42">
        <v>1</v>
      </c>
      <c r="E128" s="24"/>
      <c r="F128" s="8"/>
      <c r="G128">
        <v>12</v>
      </c>
      <c r="H128" s="28">
        <f>D128*(64*0.9)/1000</f>
        <v>0.0576</v>
      </c>
      <c r="I128">
        <f>H128*G128</f>
        <v>0.6912</v>
      </c>
      <c r="L128" s="19">
        <f>$L$2*I128</f>
        <v>252.288</v>
      </c>
      <c r="M128" s="19"/>
      <c r="N128" s="20">
        <f>N$2*L128</f>
        <v>25.228800000000003</v>
      </c>
      <c r="O128" s="20"/>
      <c r="P128" s="20"/>
      <c r="Q128" s="20">
        <f>SUM(N128:P128)</f>
        <v>25.228800000000003</v>
      </c>
      <c r="R128" s="130">
        <v>24</v>
      </c>
    </row>
    <row r="129" spans="10:19" ht="12.75">
      <c r="J129" s="2" t="s">
        <v>7</v>
      </c>
      <c r="K129" s="2"/>
      <c r="L129" s="2">
        <f aca="true" t="shared" si="20" ref="L129:Q129">L127-L128</f>
        <v>90.22799999999995</v>
      </c>
      <c r="M129" s="21">
        <f t="shared" si="20"/>
        <v>0</v>
      </c>
      <c r="N129" s="22">
        <f t="shared" si="20"/>
        <v>9.022799999999993</v>
      </c>
      <c r="O129" s="22">
        <f t="shared" si="20"/>
        <v>0</v>
      </c>
      <c r="P129" s="22">
        <f t="shared" si="20"/>
        <v>0</v>
      </c>
      <c r="Q129" s="23">
        <f t="shared" si="20"/>
        <v>9.022799999999993</v>
      </c>
      <c r="R129" s="27">
        <f>R128-R127</f>
        <v>18.009999999999998</v>
      </c>
      <c r="S129">
        <v>12</v>
      </c>
    </row>
    <row r="130" spans="18:19" ht="39" thickBot="1">
      <c r="R130" s="17" t="s">
        <v>182</v>
      </c>
      <c r="S130" s="17" t="s">
        <v>175</v>
      </c>
    </row>
    <row r="131" spans="1:18" ht="12.75">
      <c r="A131" t="s">
        <v>95</v>
      </c>
      <c r="B131" t="s">
        <v>96</v>
      </c>
      <c r="D131">
        <v>1</v>
      </c>
      <c r="F131">
        <v>60</v>
      </c>
      <c r="G131">
        <v>12</v>
      </c>
      <c r="H131" s="28">
        <f>D131*F131/1000</f>
        <v>0.06</v>
      </c>
      <c r="I131" s="19">
        <f>H131*G131</f>
        <v>0.72</v>
      </c>
      <c r="L131" s="19">
        <f>$L$2*I131</f>
        <v>262.8</v>
      </c>
      <c r="M131" s="19"/>
      <c r="N131" s="20">
        <f>N$2*L131</f>
        <v>26.28</v>
      </c>
      <c r="O131" s="20"/>
      <c r="P131" s="20"/>
      <c r="Q131" s="20">
        <f>SUM(N131:P131)</f>
        <v>26.28</v>
      </c>
      <c r="R131" s="130">
        <v>2.49</v>
      </c>
    </row>
    <row r="132" spans="2:18" ht="12.75">
      <c r="B132" t="s">
        <v>97</v>
      </c>
      <c r="D132">
        <v>1</v>
      </c>
      <c r="F132">
        <v>15</v>
      </c>
      <c r="G132">
        <v>12</v>
      </c>
      <c r="H132" s="28">
        <f>D132*F132/1000</f>
        <v>0.015</v>
      </c>
      <c r="I132" s="19">
        <f>H132*G132</f>
        <v>0.18</v>
      </c>
      <c r="L132" s="19">
        <f>$L$2*I132</f>
        <v>65.7</v>
      </c>
      <c r="M132" s="19"/>
      <c r="N132" s="20">
        <f>N$2*L132</f>
        <v>6.57</v>
      </c>
      <c r="O132" s="20"/>
      <c r="P132" s="20"/>
      <c r="Q132" s="20">
        <f>SUM(N132:P132)</f>
        <v>6.57</v>
      </c>
      <c r="R132" s="130">
        <v>6.99</v>
      </c>
    </row>
    <row r="133" spans="10:19" ht="12.75">
      <c r="J133" s="2" t="s">
        <v>7</v>
      </c>
      <c r="K133" s="2"/>
      <c r="L133" s="2">
        <f aca="true" t="shared" si="21" ref="L133:Q133">L131-L132</f>
        <v>197.10000000000002</v>
      </c>
      <c r="M133" s="21">
        <f t="shared" si="21"/>
        <v>0</v>
      </c>
      <c r="N133" s="22">
        <f t="shared" si="21"/>
        <v>19.71</v>
      </c>
      <c r="O133" s="22">
        <f t="shared" si="21"/>
        <v>0</v>
      </c>
      <c r="P133" s="22">
        <f t="shared" si="21"/>
        <v>0</v>
      </c>
      <c r="Q133" s="23">
        <f t="shared" si="21"/>
        <v>19.71</v>
      </c>
      <c r="R133" s="27">
        <f>R132-R131</f>
        <v>4.5</v>
      </c>
      <c r="S133">
        <v>2.5</v>
      </c>
    </row>
    <row r="134" ht="12.75">
      <c r="R134" s="27"/>
    </row>
    <row r="137" spans="1:19" ht="39" thickBot="1">
      <c r="A137" s="178" t="s">
        <v>136</v>
      </c>
      <c r="B137" s="15"/>
      <c r="C137" s="15"/>
      <c r="D137" s="15"/>
      <c r="E137" s="15"/>
      <c r="F137" s="15"/>
      <c r="G137" s="15"/>
      <c r="H137" s="15"/>
      <c r="I137" s="15"/>
      <c r="J137" s="15"/>
      <c r="K137" s="15"/>
      <c r="L137" s="15" t="s">
        <v>156</v>
      </c>
      <c r="M137" s="15"/>
      <c r="N137" s="17" t="s">
        <v>36</v>
      </c>
      <c r="O137" s="15"/>
      <c r="P137" s="15"/>
      <c r="Q137" s="17" t="s">
        <v>39</v>
      </c>
      <c r="R137" s="17" t="s">
        <v>182</v>
      </c>
      <c r="S137" s="17" t="s">
        <v>175</v>
      </c>
    </row>
    <row r="138" spans="1:18" ht="12.75">
      <c r="A138" t="s">
        <v>153</v>
      </c>
      <c r="C138" s="108" t="s">
        <v>157</v>
      </c>
      <c r="F138" t="s">
        <v>158</v>
      </c>
      <c r="L138" s="19">
        <v>7500</v>
      </c>
      <c r="M138" s="19"/>
      <c r="N138" s="20">
        <f>R$2*L138</f>
        <v>7500</v>
      </c>
      <c r="O138" s="20"/>
      <c r="P138" s="20"/>
      <c r="Q138" s="20">
        <f>SUM(N138:P138)</f>
        <v>7500</v>
      </c>
      <c r="R138" s="130">
        <v>0</v>
      </c>
    </row>
    <row r="139" spans="1:18" ht="12.75">
      <c r="A139" t="s">
        <v>154</v>
      </c>
      <c r="L139" s="19">
        <v>5000</v>
      </c>
      <c r="M139" s="19"/>
      <c r="N139" s="20">
        <f>R$2*L139</f>
        <v>5000</v>
      </c>
      <c r="O139" s="20"/>
      <c r="P139" s="20"/>
      <c r="Q139" s="20">
        <f>SUM(N139:P139)</f>
        <v>5000</v>
      </c>
      <c r="R139" s="130">
        <v>10000</v>
      </c>
    </row>
    <row r="140" spans="12:19" ht="12.75">
      <c r="L140" s="2">
        <f aca="true" t="shared" si="22" ref="L140:Q140">L138-L139</f>
        <v>2500</v>
      </c>
      <c r="M140" s="21">
        <f t="shared" si="22"/>
        <v>0</v>
      </c>
      <c r="N140" s="22">
        <f t="shared" si="22"/>
        <v>2500</v>
      </c>
      <c r="O140" s="22">
        <f t="shared" si="22"/>
        <v>0</v>
      </c>
      <c r="P140" s="22">
        <f t="shared" si="22"/>
        <v>0</v>
      </c>
      <c r="Q140" s="23">
        <f t="shared" si="22"/>
        <v>2500</v>
      </c>
      <c r="R140" s="27">
        <f>R139-R138</f>
        <v>10000</v>
      </c>
      <c r="S140">
        <v>12</v>
      </c>
    </row>
  </sheetData>
  <hyperlinks>
    <hyperlink ref="C138" r:id="rId1" display="http://www.fishnick.com/publications/industry/"/>
  </hyperlinks>
  <printOptions/>
  <pageMargins left="0.75" right="0.75" top="1" bottom="1" header="0.5" footer="0.5"/>
  <pageSetup horizontalDpi="600" verticalDpi="600" orientation="portrait" r:id="rId4"/>
  <legacyDrawing r:id="rId3"/>
</worksheet>
</file>

<file path=xl/worksheets/sheet3.xml><?xml version="1.0" encoding="utf-8"?>
<worksheet xmlns="http://schemas.openxmlformats.org/spreadsheetml/2006/main" xmlns:r="http://schemas.openxmlformats.org/officeDocument/2006/relationships">
  <dimension ref="A1:M75"/>
  <sheetViews>
    <sheetView workbookViewId="0" topLeftCell="A1">
      <pane xSplit="2" ySplit="3" topLeftCell="C13" activePane="bottomRight" state="frozen"/>
      <selection pane="topLeft" activeCell="A1" sqref="A1"/>
      <selection pane="topRight" activeCell="C1" sqref="C1"/>
      <selection pane="bottomLeft" activeCell="A4" sqref="A4"/>
      <selection pane="bottomRight" activeCell="D52" sqref="D52"/>
    </sheetView>
  </sheetViews>
  <sheetFormatPr defaultColWidth="9.140625" defaultRowHeight="12.75"/>
  <cols>
    <col min="1" max="1" width="6.57421875" style="0" bestFit="1" customWidth="1"/>
    <col min="2" max="2" width="38.57421875" style="0" customWidth="1"/>
    <col min="3" max="3" width="8.7109375" style="0" customWidth="1"/>
    <col min="4" max="4" width="57.421875" style="0" bestFit="1" customWidth="1"/>
    <col min="5" max="5" width="11.7109375" style="0" customWidth="1"/>
    <col min="6" max="6" width="6.00390625" style="0" bestFit="1" customWidth="1"/>
    <col min="7" max="7" width="11.7109375" style="0" customWidth="1"/>
    <col min="8" max="8" width="6.00390625" style="0" bestFit="1" customWidth="1"/>
    <col min="9" max="9" width="11.7109375" style="0" customWidth="1"/>
    <col min="10" max="10" width="6.00390625" style="0" bestFit="1" customWidth="1"/>
    <col min="11" max="11" width="11.7109375" style="0" customWidth="1"/>
    <col min="12" max="12" width="4.57421875" style="0" bestFit="1" customWidth="1"/>
    <col min="13" max="13" width="15.00390625" style="0" bestFit="1" customWidth="1"/>
  </cols>
  <sheetData>
    <row r="1" spans="1:3" ht="15.75">
      <c r="A1" s="171" t="s">
        <v>113</v>
      </c>
      <c r="B1" s="171"/>
      <c r="C1" s="96"/>
    </row>
    <row r="3" spans="1:13" ht="12.75">
      <c r="A3" s="97" t="s">
        <v>114</v>
      </c>
      <c r="B3" s="97" t="s">
        <v>115</v>
      </c>
      <c r="C3" s="97" t="s">
        <v>117</v>
      </c>
      <c r="D3" s="97" t="s">
        <v>116</v>
      </c>
      <c r="E3" s="107"/>
      <c r="F3" s="107"/>
      <c r="G3" s="107"/>
      <c r="H3" s="107"/>
      <c r="I3" s="107"/>
      <c r="J3" s="107"/>
      <c r="K3" s="107"/>
      <c r="L3" s="107"/>
      <c r="M3" s="107"/>
    </row>
    <row r="4" spans="1:13" ht="12.75">
      <c r="A4" s="104"/>
      <c r="B4" s="105" t="s">
        <v>55</v>
      </c>
      <c r="C4" s="104"/>
      <c r="D4" s="104"/>
      <c r="E4" s="95"/>
      <c r="F4" s="95"/>
      <c r="G4" s="95"/>
      <c r="H4" s="95"/>
      <c r="I4" s="95"/>
      <c r="J4" s="95"/>
      <c r="K4" s="95"/>
      <c r="L4" s="95"/>
      <c r="M4" s="95"/>
    </row>
    <row r="5" spans="1:13" ht="12.75">
      <c r="A5" s="104">
        <v>1</v>
      </c>
      <c r="B5" s="104" t="s">
        <v>119</v>
      </c>
      <c r="C5" s="104" t="s">
        <v>120</v>
      </c>
      <c r="D5" s="104" t="s">
        <v>139</v>
      </c>
      <c r="E5" s="95"/>
      <c r="F5" s="95"/>
      <c r="G5" s="95"/>
      <c r="H5" s="95"/>
      <c r="I5" s="95"/>
      <c r="J5" s="95"/>
      <c r="K5" s="95"/>
      <c r="L5" s="95"/>
      <c r="M5" s="95"/>
    </row>
    <row r="6" spans="1:13" ht="12.75">
      <c r="A6" s="6">
        <v>6</v>
      </c>
      <c r="B6" s="6" t="s">
        <v>15</v>
      </c>
      <c r="C6" s="6" t="s">
        <v>103</v>
      </c>
      <c r="D6" s="6" t="s">
        <v>139</v>
      </c>
      <c r="E6" s="95"/>
      <c r="F6" s="95"/>
      <c r="G6" s="95"/>
      <c r="H6" s="95"/>
      <c r="I6" s="95"/>
      <c r="J6" s="95"/>
      <c r="K6" s="95"/>
      <c r="L6" s="95"/>
      <c r="M6" s="95"/>
    </row>
    <row r="7" spans="1:13" ht="12.75">
      <c r="A7" s="6">
        <v>7</v>
      </c>
      <c r="B7" s="6" t="s">
        <v>118</v>
      </c>
      <c r="C7" s="6" t="s">
        <v>103</v>
      </c>
      <c r="D7" s="6" t="s">
        <v>139</v>
      </c>
      <c r="E7" s="95"/>
      <c r="F7" s="95"/>
      <c r="G7" s="95"/>
      <c r="H7" s="95"/>
      <c r="I7" s="95"/>
      <c r="J7" s="95"/>
      <c r="K7" s="95"/>
      <c r="L7" s="95"/>
      <c r="M7" s="95"/>
    </row>
    <row r="8" spans="5:13" ht="12.75">
      <c r="E8" s="95"/>
      <c r="F8" s="95"/>
      <c r="G8" s="95"/>
      <c r="H8" s="95"/>
      <c r="I8" s="95"/>
      <c r="J8" s="95"/>
      <c r="K8" s="95"/>
      <c r="L8" s="95"/>
      <c r="M8" s="95"/>
    </row>
    <row r="9" spans="5:13" ht="12.75">
      <c r="E9" s="95"/>
      <c r="F9" s="95"/>
      <c r="G9" s="95"/>
      <c r="H9" s="95"/>
      <c r="I9" s="95"/>
      <c r="J9" s="95"/>
      <c r="K9" s="95"/>
      <c r="L9" s="95"/>
      <c r="M9" s="95"/>
    </row>
    <row r="10" spans="5:13" ht="12.75">
      <c r="E10" s="95"/>
      <c r="F10" s="95"/>
      <c r="G10" s="95"/>
      <c r="H10" s="95"/>
      <c r="I10" s="95"/>
      <c r="J10" s="95"/>
      <c r="K10" s="95"/>
      <c r="L10" s="95"/>
      <c r="M10" s="95"/>
    </row>
    <row r="11" spans="5:13" ht="12.75">
      <c r="E11" s="95"/>
      <c r="F11" s="95"/>
      <c r="G11" s="95"/>
      <c r="H11" s="95"/>
      <c r="I11" s="95"/>
      <c r="J11" s="95"/>
      <c r="K11" s="95"/>
      <c r="L11" s="95"/>
      <c r="M11" s="95"/>
    </row>
    <row r="12" spans="1:13" ht="12.75">
      <c r="A12" s="6"/>
      <c r="B12" s="6"/>
      <c r="C12" s="6"/>
      <c r="D12" s="6"/>
      <c r="E12" s="95"/>
      <c r="F12" s="95"/>
      <c r="G12" s="95"/>
      <c r="H12" s="95"/>
      <c r="I12" s="95"/>
      <c r="J12" s="95"/>
      <c r="K12" s="95"/>
      <c r="L12" s="95"/>
      <c r="M12" s="95"/>
    </row>
    <row r="13" spans="1:13" ht="12.75">
      <c r="A13" s="6"/>
      <c r="B13" s="6"/>
      <c r="C13" s="6"/>
      <c r="D13" s="6"/>
      <c r="E13" s="95"/>
      <c r="F13" s="95"/>
      <c r="G13" s="95"/>
      <c r="H13" s="95"/>
      <c r="I13" s="95"/>
      <c r="J13" s="95"/>
      <c r="K13" s="95"/>
      <c r="L13" s="95"/>
      <c r="M13" s="95"/>
    </row>
    <row r="14" spans="1:13" ht="12.75">
      <c r="A14" s="6"/>
      <c r="B14" s="6"/>
      <c r="C14" s="6"/>
      <c r="D14" s="6"/>
      <c r="E14" s="95"/>
      <c r="F14" s="95"/>
      <c r="G14" s="95"/>
      <c r="H14" s="95"/>
      <c r="I14" s="95"/>
      <c r="J14" s="95"/>
      <c r="K14" s="95"/>
      <c r="L14" s="95"/>
      <c r="M14" s="95"/>
    </row>
    <row r="15" spans="1:13" ht="12.75">
      <c r="A15" s="97"/>
      <c r="B15" s="97" t="s">
        <v>127</v>
      </c>
      <c r="C15" s="6"/>
      <c r="D15" s="6"/>
      <c r="E15" s="95"/>
      <c r="F15" s="95"/>
      <c r="G15" s="95"/>
      <c r="H15" s="95"/>
      <c r="I15" s="95"/>
      <c r="J15" s="95"/>
      <c r="K15" s="95"/>
      <c r="L15" s="95"/>
      <c r="M15" s="95"/>
    </row>
    <row r="16" spans="1:13" ht="12.75">
      <c r="A16" s="6">
        <v>12</v>
      </c>
      <c r="B16" s="6" t="s">
        <v>22</v>
      </c>
      <c r="C16" s="6" t="s">
        <v>103</v>
      </c>
      <c r="D16" s="6" t="s">
        <v>128</v>
      </c>
      <c r="E16" s="95"/>
      <c r="F16" s="95"/>
      <c r="G16" s="95"/>
      <c r="H16" s="95"/>
      <c r="I16" s="95"/>
      <c r="J16" s="95"/>
      <c r="K16" s="95"/>
      <c r="L16" s="95"/>
      <c r="M16" s="95"/>
    </row>
    <row r="17" spans="1:13" ht="12.75">
      <c r="A17" s="6">
        <v>8</v>
      </c>
      <c r="B17" s="6" t="s">
        <v>124</v>
      </c>
      <c r="C17" s="6" t="s">
        <v>103</v>
      </c>
      <c r="D17" s="6" t="s">
        <v>135</v>
      </c>
      <c r="E17" s="95"/>
      <c r="F17" s="95"/>
      <c r="G17" s="95"/>
      <c r="H17" s="95"/>
      <c r="I17" s="95"/>
      <c r="J17" s="95"/>
      <c r="K17" s="95"/>
      <c r="L17" s="95"/>
      <c r="M17" s="95"/>
    </row>
    <row r="18" spans="1:13" ht="12.75">
      <c r="A18" s="6">
        <v>9</v>
      </c>
      <c r="B18" s="6" t="s">
        <v>125</v>
      </c>
      <c r="C18" s="6" t="s">
        <v>103</v>
      </c>
      <c r="D18" s="6" t="s">
        <v>135</v>
      </c>
      <c r="E18" s="95"/>
      <c r="F18" s="95"/>
      <c r="G18" s="95"/>
      <c r="H18" s="95"/>
      <c r="I18" s="95"/>
      <c r="J18" s="95"/>
      <c r="K18" s="95"/>
      <c r="L18" s="95"/>
      <c r="M18" s="95"/>
    </row>
    <row r="19" spans="1:13" ht="12.75">
      <c r="A19" s="6">
        <v>15</v>
      </c>
      <c r="B19" s="6" t="s">
        <v>18</v>
      </c>
      <c r="C19" s="6" t="s">
        <v>103</v>
      </c>
      <c r="D19" s="6" t="s">
        <v>135</v>
      </c>
      <c r="E19" s="95"/>
      <c r="F19" s="95"/>
      <c r="G19" s="95"/>
      <c r="H19" s="95"/>
      <c r="I19" s="95"/>
      <c r="J19" s="95"/>
      <c r="K19" s="95"/>
      <c r="L19" s="95"/>
      <c r="M19" s="95"/>
    </row>
    <row r="20" spans="1:13" ht="12.75">
      <c r="A20" s="6">
        <v>16</v>
      </c>
      <c r="B20" s="6" t="s">
        <v>79</v>
      </c>
      <c r="C20" s="6" t="s">
        <v>103</v>
      </c>
      <c r="D20" s="6" t="s">
        <v>135</v>
      </c>
      <c r="E20" s="95"/>
      <c r="F20" s="95"/>
      <c r="G20" s="95"/>
      <c r="H20" s="95"/>
      <c r="I20" s="95"/>
      <c r="J20" s="95"/>
      <c r="K20" s="95"/>
      <c r="L20" s="95"/>
      <c r="M20" s="95"/>
    </row>
    <row r="21" spans="1:13" ht="12.75">
      <c r="A21" s="6"/>
      <c r="B21" s="6"/>
      <c r="C21" s="6"/>
      <c r="D21" s="6"/>
      <c r="E21" s="95"/>
      <c r="F21" s="95"/>
      <c r="G21" s="95"/>
      <c r="H21" s="95"/>
      <c r="I21" s="95"/>
      <c r="J21" s="95"/>
      <c r="K21" s="95"/>
      <c r="L21" s="95"/>
      <c r="M21" s="95"/>
    </row>
    <row r="22" spans="1:13" ht="12.75">
      <c r="A22" s="6"/>
      <c r="B22" s="6"/>
      <c r="C22" s="6"/>
      <c r="D22" s="6"/>
      <c r="E22" s="95"/>
      <c r="F22" s="95"/>
      <c r="G22" s="95"/>
      <c r="H22" s="95"/>
      <c r="I22" s="95"/>
      <c r="J22" s="95"/>
      <c r="K22" s="95"/>
      <c r="L22" s="95"/>
      <c r="M22" s="95"/>
    </row>
    <row r="23" spans="1:13" ht="12.75">
      <c r="A23" s="6"/>
      <c r="B23" s="6"/>
      <c r="C23" s="6"/>
      <c r="D23" s="6"/>
      <c r="E23" s="95"/>
      <c r="F23" s="95"/>
      <c r="G23" s="95"/>
      <c r="H23" s="95"/>
      <c r="I23" s="95"/>
      <c r="J23" s="95"/>
      <c r="K23" s="95"/>
      <c r="L23" s="95"/>
      <c r="M23" s="95"/>
    </row>
    <row r="24" spans="1:13" ht="12.75">
      <c r="A24" s="6"/>
      <c r="B24" s="6"/>
      <c r="C24" s="6"/>
      <c r="D24" s="6"/>
      <c r="E24" s="95"/>
      <c r="F24" s="95"/>
      <c r="G24" s="95"/>
      <c r="H24" s="95"/>
      <c r="I24" s="95"/>
      <c r="J24" s="95"/>
      <c r="K24" s="95"/>
      <c r="L24" s="95"/>
      <c r="M24" s="95"/>
    </row>
    <row r="25" spans="1:13" ht="12.75">
      <c r="A25" s="6"/>
      <c r="B25" s="6"/>
      <c r="C25" s="6"/>
      <c r="D25" s="6"/>
      <c r="E25" s="95"/>
      <c r="F25" s="95"/>
      <c r="G25" s="95"/>
      <c r="H25" s="95"/>
      <c r="I25" s="95"/>
      <c r="J25" s="95"/>
      <c r="K25" s="95"/>
      <c r="L25" s="95"/>
      <c r="M25" s="95"/>
    </row>
    <row r="26" spans="1:13" ht="12.75">
      <c r="A26" s="97"/>
      <c r="B26" s="97"/>
      <c r="C26" s="6"/>
      <c r="D26" s="6"/>
      <c r="E26" s="95"/>
      <c r="F26" s="95"/>
      <c r="G26" s="95"/>
      <c r="H26" s="95"/>
      <c r="I26" s="95"/>
      <c r="J26" s="95"/>
      <c r="K26" s="95"/>
      <c r="L26" s="95"/>
      <c r="M26" s="95"/>
    </row>
    <row r="27" spans="1:13" ht="12.75">
      <c r="A27" s="97"/>
      <c r="B27" s="97" t="s">
        <v>121</v>
      </c>
      <c r="C27" s="6"/>
      <c r="D27" s="6"/>
      <c r="E27" s="95"/>
      <c r="F27" s="95"/>
      <c r="G27" s="95"/>
      <c r="H27" s="95"/>
      <c r="I27" s="95"/>
      <c r="J27" s="95"/>
      <c r="K27" s="95"/>
      <c r="L27" s="95"/>
      <c r="M27" s="95"/>
    </row>
    <row r="28" spans="1:13" ht="12.75">
      <c r="A28" s="6">
        <v>3</v>
      </c>
      <c r="B28" s="6" t="s">
        <v>11</v>
      </c>
      <c r="C28" s="6" t="s">
        <v>102</v>
      </c>
      <c r="D28" s="6" t="s">
        <v>123</v>
      </c>
      <c r="E28" s="95"/>
      <c r="F28" s="95"/>
      <c r="G28" s="95"/>
      <c r="H28" s="95"/>
      <c r="I28" s="95"/>
      <c r="J28" s="95"/>
      <c r="K28" s="95"/>
      <c r="L28" s="95"/>
      <c r="M28" s="95"/>
    </row>
    <row r="29" spans="1:13" ht="12.75">
      <c r="A29" s="6">
        <v>4</v>
      </c>
      <c r="B29" s="6" t="s">
        <v>16</v>
      </c>
      <c r="C29" s="6" t="s">
        <v>102</v>
      </c>
      <c r="D29" s="6" t="s">
        <v>123</v>
      </c>
      <c r="E29" s="95"/>
      <c r="F29" s="95"/>
      <c r="G29" s="95"/>
      <c r="H29" s="95"/>
      <c r="I29" s="95"/>
      <c r="J29" s="95"/>
      <c r="K29" s="95"/>
      <c r="L29" s="95"/>
      <c r="M29" s="95"/>
    </row>
    <row r="30" spans="1:13" ht="12.75">
      <c r="A30" s="6">
        <v>5</v>
      </c>
      <c r="B30" s="6" t="s">
        <v>17</v>
      </c>
      <c r="C30" s="6" t="s">
        <v>103</v>
      </c>
      <c r="D30" s="6" t="s">
        <v>123</v>
      </c>
      <c r="E30" s="95"/>
      <c r="F30" s="95"/>
      <c r="G30" s="95"/>
      <c r="H30" s="95"/>
      <c r="I30" s="95"/>
      <c r="J30" s="95"/>
      <c r="K30" s="95"/>
      <c r="L30" s="95"/>
      <c r="M30" s="95"/>
    </row>
    <row r="31" spans="1:13" ht="12.75">
      <c r="A31" s="6">
        <v>11</v>
      </c>
      <c r="B31" s="6" t="s">
        <v>77</v>
      </c>
      <c r="C31" s="6" t="s">
        <v>103</v>
      </c>
      <c r="D31" s="6" t="s">
        <v>126</v>
      </c>
      <c r="E31" s="95"/>
      <c r="F31" s="95"/>
      <c r="G31" s="95"/>
      <c r="H31" s="95"/>
      <c r="I31" s="95"/>
      <c r="J31" s="95"/>
      <c r="K31" s="95"/>
      <c r="L31" s="95"/>
      <c r="M31" s="95"/>
    </row>
    <row r="32" spans="1:13" ht="12.75">
      <c r="A32">
        <v>13</v>
      </c>
      <c r="B32" s="6" t="s">
        <v>129</v>
      </c>
      <c r="C32" s="106"/>
      <c r="D32" s="6" t="s">
        <v>131</v>
      </c>
      <c r="E32" s="95"/>
      <c r="F32" s="95"/>
      <c r="G32" s="95"/>
      <c r="H32" s="95"/>
      <c r="I32" s="95"/>
      <c r="J32" s="95"/>
      <c r="K32" s="95"/>
      <c r="L32" s="95"/>
      <c r="M32" s="95"/>
    </row>
    <row r="33" spans="1:13" ht="12.75">
      <c r="A33" s="6">
        <v>14</v>
      </c>
      <c r="B33" s="6" t="s">
        <v>140</v>
      </c>
      <c r="C33" s="6" t="s">
        <v>103</v>
      </c>
      <c r="D33" s="6" t="s">
        <v>130</v>
      </c>
      <c r="E33" s="95"/>
      <c r="F33" s="95"/>
      <c r="G33" s="95"/>
      <c r="H33" s="95"/>
      <c r="I33" s="95"/>
      <c r="J33" s="95"/>
      <c r="K33" s="95"/>
      <c r="L33" s="95"/>
      <c r="M33" s="95"/>
    </row>
    <row r="34" spans="1:13" ht="12.75">
      <c r="A34" s="6">
        <v>18</v>
      </c>
      <c r="B34" s="6" t="s">
        <v>19</v>
      </c>
      <c r="C34" s="6" t="s">
        <v>103</v>
      </c>
      <c r="D34" s="6" t="s">
        <v>123</v>
      </c>
      <c r="E34" s="95"/>
      <c r="F34" s="95"/>
      <c r="G34" s="95"/>
      <c r="H34" s="95"/>
      <c r="I34" s="95"/>
      <c r="J34" s="95"/>
      <c r="K34" s="95"/>
      <c r="L34" s="95"/>
      <c r="M34" s="95"/>
    </row>
    <row r="35" spans="1:13" ht="12.75">
      <c r="A35" s="6">
        <v>19</v>
      </c>
      <c r="B35" s="6" t="s">
        <v>83</v>
      </c>
      <c r="C35" s="6" t="s">
        <v>102</v>
      </c>
      <c r="D35" s="6" t="s">
        <v>141</v>
      </c>
      <c r="E35" s="95"/>
      <c r="F35" s="95"/>
      <c r="G35" s="95"/>
      <c r="H35" s="95"/>
      <c r="I35" s="95"/>
      <c r="J35" s="95"/>
      <c r="K35" s="95"/>
      <c r="L35" s="95"/>
      <c r="M35" s="95"/>
    </row>
    <row r="36" spans="1:13" ht="12.75">
      <c r="A36" s="6">
        <v>20</v>
      </c>
      <c r="B36" s="6" t="s">
        <v>50</v>
      </c>
      <c r="C36" s="6" t="s">
        <v>103</v>
      </c>
      <c r="D36" s="6" t="s">
        <v>132</v>
      </c>
      <c r="E36" s="95"/>
      <c r="F36" s="95"/>
      <c r="G36" s="95"/>
      <c r="H36" s="95"/>
      <c r="I36" s="95"/>
      <c r="J36" s="95"/>
      <c r="K36" s="95"/>
      <c r="L36" s="95"/>
      <c r="M36" s="95"/>
    </row>
    <row r="37" spans="1:13" ht="12.75">
      <c r="A37" s="6">
        <v>21</v>
      </c>
      <c r="B37" s="6" t="s">
        <v>142</v>
      </c>
      <c r="C37" s="6" t="s">
        <v>103</v>
      </c>
      <c r="D37" s="6" t="s">
        <v>133</v>
      </c>
      <c r="E37" s="95"/>
      <c r="F37" s="95"/>
      <c r="G37" s="95"/>
      <c r="H37" s="95"/>
      <c r="I37" s="95"/>
      <c r="J37" s="95"/>
      <c r="K37" s="95"/>
      <c r="L37" s="95"/>
      <c r="M37" s="95"/>
    </row>
    <row r="38" spans="1:13" ht="12.75">
      <c r="A38" s="6">
        <v>22</v>
      </c>
      <c r="B38" s="6" t="s">
        <v>134</v>
      </c>
      <c r="C38" s="6" t="s">
        <v>103</v>
      </c>
      <c r="D38" s="6" t="s">
        <v>143</v>
      </c>
      <c r="E38" s="95"/>
      <c r="F38" s="95"/>
      <c r="G38" s="95"/>
      <c r="H38" s="95"/>
      <c r="I38" s="95"/>
      <c r="J38" s="95"/>
      <c r="K38" s="95"/>
      <c r="L38" s="95"/>
      <c r="M38" s="95"/>
    </row>
    <row r="39" spans="1:13" ht="12.75">
      <c r="A39" s="6">
        <v>23</v>
      </c>
      <c r="B39" s="6" t="s">
        <v>144</v>
      </c>
      <c r="C39" s="6" t="s">
        <v>103</v>
      </c>
      <c r="D39" s="6" t="s">
        <v>138</v>
      </c>
      <c r="E39" s="95"/>
      <c r="F39" s="95"/>
      <c r="G39" s="95"/>
      <c r="H39" s="95"/>
      <c r="I39" s="95"/>
      <c r="J39" s="95"/>
      <c r="K39" s="95"/>
      <c r="L39" s="95"/>
      <c r="M39" s="95"/>
    </row>
    <row r="40" spans="4:13" ht="12.75">
      <c r="D40" s="6" t="s">
        <v>155</v>
      </c>
      <c r="E40" s="95"/>
      <c r="F40" s="95"/>
      <c r="G40" s="95"/>
      <c r="H40" s="95"/>
      <c r="I40" s="95"/>
      <c r="J40" s="95"/>
      <c r="K40" s="95"/>
      <c r="L40" s="95"/>
      <c r="M40" s="95"/>
    </row>
    <row r="41" spans="5:13" ht="12.75">
      <c r="E41" s="95"/>
      <c r="F41" s="95"/>
      <c r="G41" s="95"/>
      <c r="H41" s="95"/>
      <c r="I41" s="95"/>
      <c r="J41" s="95"/>
      <c r="K41" s="95"/>
      <c r="L41" s="95"/>
      <c r="M41" s="95"/>
    </row>
    <row r="42" spans="5:13" ht="12.75">
      <c r="E42" s="95"/>
      <c r="F42" s="95"/>
      <c r="G42" s="95"/>
      <c r="H42" s="95"/>
      <c r="I42" s="95"/>
      <c r="J42" s="95"/>
      <c r="K42" s="95"/>
      <c r="L42" s="95"/>
      <c r="M42" s="95"/>
    </row>
    <row r="43" spans="5:13" ht="12.75">
      <c r="E43" s="95"/>
      <c r="F43" s="95"/>
      <c r="G43" s="95"/>
      <c r="H43" s="95"/>
      <c r="I43" s="95"/>
      <c r="J43" s="95"/>
      <c r="K43" s="95"/>
      <c r="L43" s="95"/>
      <c r="M43" s="95"/>
    </row>
    <row r="44" spans="1:13" ht="12.75">
      <c r="A44" s="6"/>
      <c r="B44" s="103" t="s">
        <v>122</v>
      </c>
      <c r="C44" s="6"/>
      <c r="D44" s="6"/>
      <c r="E44" s="95"/>
      <c r="F44" s="95"/>
      <c r="G44" s="95"/>
      <c r="H44" s="95"/>
      <c r="I44" s="95"/>
      <c r="J44" s="95"/>
      <c r="K44" s="95"/>
      <c r="L44" s="95"/>
      <c r="M44" s="95"/>
    </row>
    <row r="45" spans="1:13" ht="12.75">
      <c r="A45" s="6">
        <v>2</v>
      </c>
      <c r="B45" s="6" t="s">
        <v>13</v>
      </c>
      <c r="C45" s="6" t="s">
        <v>102</v>
      </c>
      <c r="D45" s="6" t="s">
        <v>137</v>
      </c>
      <c r="E45" s="95"/>
      <c r="F45" s="95"/>
      <c r="G45" s="95"/>
      <c r="H45" s="95"/>
      <c r="I45" s="95"/>
      <c r="J45" s="95"/>
      <c r="K45" s="95"/>
      <c r="L45" s="95"/>
      <c r="M45" s="95"/>
    </row>
    <row r="46" spans="1:13" ht="12.75">
      <c r="A46" s="6"/>
      <c r="B46" s="6"/>
      <c r="C46" s="6"/>
      <c r="D46" s="6"/>
      <c r="E46" s="95"/>
      <c r="F46" s="95"/>
      <c r="G46" s="95"/>
      <c r="H46" s="95"/>
      <c r="I46" s="95"/>
      <c r="J46" s="95"/>
      <c r="K46" s="95"/>
      <c r="L46" s="95"/>
      <c r="M46" s="95"/>
    </row>
    <row r="47" spans="1:13" ht="12.75">
      <c r="A47" s="6"/>
      <c r="B47" s="6"/>
      <c r="C47" s="6"/>
      <c r="D47" s="6"/>
      <c r="E47" s="95"/>
      <c r="F47" s="95"/>
      <c r="G47" s="95"/>
      <c r="H47" s="95"/>
      <c r="I47" s="95"/>
      <c r="J47" s="95"/>
      <c r="K47" s="95"/>
      <c r="L47" s="95"/>
      <c r="M47" s="95"/>
    </row>
    <row r="48" spans="1:13" ht="12.75">
      <c r="A48" s="6"/>
      <c r="B48" s="6"/>
      <c r="C48" s="6"/>
      <c r="D48" s="6"/>
      <c r="E48" s="95"/>
      <c r="F48" s="95"/>
      <c r="G48" s="95"/>
      <c r="H48" s="95"/>
      <c r="I48" s="95"/>
      <c r="J48" s="95"/>
      <c r="K48" s="95"/>
      <c r="L48" s="95"/>
      <c r="M48" s="95"/>
    </row>
    <row r="49" spans="1:13" ht="12.75">
      <c r="A49" s="6"/>
      <c r="B49" s="6"/>
      <c r="C49" s="6"/>
      <c r="D49" s="6"/>
      <c r="E49" s="95"/>
      <c r="F49" s="95"/>
      <c r="G49" s="95"/>
      <c r="H49" s="95"/>
      <c r="I49" s="95"/>
      <c r="J49" s="95"/>
      <c r="K49" s="95"/>
      <c r="L49" s="95"/>
      <c r="M49" s="95"/>
    </row>
    <row r="50" spans="1:13" ht="12.75">
      <c r="A50" s="6"/>
      <c r="B50" s="6"/>
      <c r="C50" s="6"/>
      <c r="D50" s="6"/>
      <c r="E50" s="95"/>
      <c r="F50" s="95"/>
      <c r="G50" s="95"/>
      <c r="H50" s="95"/>
      <c r="I50" s="95"/>
      <c r="J50" s="95"/>
      <c r="K50" s="95"/>
      <c r="L50" s="95"/>
      <c r="M50" s="95"/>
    </row>
    <row r="51" spans="1:13" ht="12.75">
      <c r="A51" s="6"/>
      <c r="B51" s="6"/>
      <c r="C51" s="6"/>
      <c r="D51" s="6"/>
      <c r="E51" s="95"/>
      <c r="F51" s="95"/>
      <c r="G51" s="95"/>
      <c r="H51" s="95"/>
      <c r="I51" s="95"/>
      <c r="J51" s="95"/>
      <c r="K51" s="95"/>
      <c r="L51" s="95"/>
      <c r="M51" s="95"/>
    </row>
    <row r="52" spans="1:13" ht="12.75">
      <c r="A52" s="6"/>
      <c r="B52" s="6"/>
      <c r="C52" s="6"/>
      <c r="D52" s="6"/>
      <c r="E52" s="95"/>
      <c r="F52" s="95"/>
      <c r="G52" s="95"/>
      <c r="H52" s="95"/>
      <c r="I52" s="95"/>
      <c r="J52" s="95"/>
      <c r="K52" s="95"/>
      <c r="L52" s="95"/>
      <c r="M52" s="95"/>
    </row>
    <row r="53" spans="1:13" ht="12.75">
      <c r="A53" s="97"/>
      <c r="B53" s="97"/>
      <c r="C53" s="6"/>
      <c r="D53" s="6"/>
      <c r="E53" s="95"/>
      <c r="F53" s="95"/>
      <c r="G53" s="95"/>
      <c r="H53" s="95"/>
      <c r="I53" s="95"/>
      <c r="J53" s="95"/>
      <c r="K53" s="95"/>
      <c r="L53" s="95"/>
      <c r="M53" s="95"/>
    </row>
    <row r="54" spans="5:13" ht="12.75">
      <c r="E54" s="98"/>
      <c r="F54" s="99"/>
      <c r="G54" s="98"/>
      <c r="H54" s="99"/>
      <c r="I54" s="98"/>
      <c r="J54" s="99"/>
      <c r="K54" s="98"/>
      <c r="L54" s="99"/>
      <c r="M54" s="100"/>
    </row>
    <row r="55" spans="5:13" ht="12.75">
      <c r="E55" s="98"/>
      <c r="F55" s="99"/>
      <c r="G55" s="98"/>
      <c r="H55" s="99"/>
      <c r="I55" s="98"/>
      <c r="J55" s="99"/>
      <c r="K55" s="98"/>
      <c r="L55" s="99"/>
      <c r="M55" s="100"/>
    </row>
    <row r="56" spans="5:13" ht="12.75">
      <c r="E56" s="98"/>
      <c r="F56" s="99"/>
      <c r="G56" s="98"/>
      <c r="H56" s="99"/>
      <c r="I56" s="98"/>
      <c r="J56" s="99"/>
      <c r="K56" s="98"/>
      <c r="L56" s="98"/>
      <c r="M56" s="100"/>
    </row>
    <row r="57" spans="5:13" ht="12.75">
      <c r="E57" s="98"/>
      <c r="F57" s="99"/>
      <c r="G57" s="98"/>
      <c r="H57" s="99"/>
      <c r="I57" s="98"/>
      <c r="J57" s="99"/>
      <c r="K57" s="98"/>
      <c r="L57" s="98"/>
      <c r="M57" s="100"/>
    </row>
    <row r="58" spans="5:13" ht="12.75">
      <c r="E58" s="98"/>
      <c r="F58" s="99"/>
      <c r="G58" s="98"/>
      <c r="H58" s="99"/>
      <c r="I58" s="98"/>
      <c r="J58" s="99"/>
      <c r="K58" s="98"/>
      <c r="L58" s="98"/>
      <c r="M58" s="100"/>
    </row>
    <row r="59" spans="5:13" ht="12.75">
      <c r="E59" s="98"/>
      <c r="F59" s="99"/>
      <c r="G59" s="98"/>
      <c r="H59" s="99"/>
      <c r="I59" s="98"/>
      <c r="J59" s="99"/>
      <c r="K59" s="98"/>
      <c r="L59" s="98"/>
      <c r="M59" s="100"/>
    </row>
    <row r="60" spans="5:13" ht="12.75">
      <c r="E60" s="98"/>
      <c r="F60" s="99"/>
      <c r="G60" s="98"/>
      <c r="H60" s="99"/>
      <c r="I60" s="98"/>
      <c r="J60" s="99"/>
      <c r="K60" s="98"/>
      <c r="L60" s="99"/>
      <c r="M60" s="100"/>
    </row>
    <row r="61" spans="5:13" ht="12.75">
      <c r="E61" s="98"/>
      <c r="F61" s="99"/>
      <c r="G61" s="98"/>
      <c r="H61" s="99"/>
      <c r="I61" s="98"/>
      <c r="J61" s="99"/>
      <c r="K61" s="98"/>
      <c r="L61" s="98"/>
      <c r="M61" s="100"/>
    </row>
    <row r="62" spans="5:13" ht="12.75">
      <c r="E62" s="98"/>
      <c r="F62" s="99"/>
      <c r="G62" s="98"/>
      <c r="H62" s="99"/>
      <c r="I62" s="98"/>
      <c r="J62" s="99"/>
      <c r="K62" s="98"/>
      <c r="L62" s="98"/>
      <c r="M62" s="100"/>
    </row>
    <row r="64" spans="2:13" ht="12.75">
      <c r="B64" s="101"/>
      <c r="C64" s="101"/>
      <c r="D64" s="101"/>
      <c r="E64" s="101"/>
      <c r="F64" s="101"/>
      <c r="G64" s="101"/>
      <c r="H64" s="101"/>
      <c r="I64" s="101"/>
      <c r="J64" s="101"/>
      <c r="K64" s="101"/>
      <c r="L64" s="101"/>
      <c r="M64" s="102"/>
    </row>
    <row r="66" spans="2:3" ht="12.75">
      <c r="B66" s="103"/>
      <c r="C66" s="103"/>
    </row>
    <row r="75" spans="2:3" ht="12.75">
      <c r="B75" s="103"/>
      <c r="C75" s="103"/>
    </row>
  </sheetData>
  <mergeCells count="1">
    <mergeCell ref="A1:B1"/>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Consulting,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Carroll</dc:creator>
  <cp:keywords/>
  <dc:description/>
  <cp:lastModifiedBy>David Cowen</cp:lastModifiedBy>
  <cp:lastPrinted>2005-06-08T12:12:35Z</cp:lastPrinted>
  <dcterms:created xsi:type="dcterms:W3CDTF">2005-05-20T18:22:11Z</dcterms:created>
  <dcterms:modified xsi:type="dcterms:W3CDTF">2006-03-14T23:44:03Z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