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65" windowHeight="7845" tabRatio="886" activeTab="0"/>
  </bookViews>
  <sheets>
    <sheet name="Dishwasher Calculator" sheetId="1" r:id="rId1"/>
    <sheet name="Assumptions" sheetId="2" r:id="rId2"/>
  </sheets>
  <definedNames>
    <definedName name="_xlnm.Print_Area" localSheetId="1">'Assumptions'!$A$1:$D$64</definedName>
    <definedName name="_xlnm.Print_Area" localSheetId="0">'Dishwasher Calculator'!$A$1:$M$73</definedName>
  </definedNames>
  <calcPr fullCalcOnLoad="1"/>
</workbook>
</file>

<file path=xl/sharedStrings.xml><?xml version="1.0" encoding="utf-8"?>
<sst xmlns="http://schemas.openxmlformats.org/spreadsheetml/2006/main" count="189" uniqueCount="120">
  <si>
    <t>Life Cycle Cost Estimate for</t>
  </si>
  <si>
    <t>Enter your own values in the gray boxes or use our default values.</t>
  </si>
  <si>
    <t>Number of units</t>
  </si>
  <si>
    <t>ENERGY STAR Qualified Unit</t>
  </si>
  <si>
    <t>Conventional Unit</t>
  </si>
  <si>
    <t xml:space="preserve"> Savings with ENERGY STAR</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</si>
  <si>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</si>
  <si>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</si>
  <si>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</si>
  <si>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</si>
  <si>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</si>
  <si>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</si>
  <si>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</si>
  <si>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</si>
  <si>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</si>
  <si>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</si>
  <si>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</si>
  <si>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</si>
  <si>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</si>
  <si>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</si>
  <si>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</si>
  <si>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</si>
  <si>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</si>
  <si>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</si>
  <si>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</si>
  <si>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</si>
  <si>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</si>
  <si>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</si>
  <si>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</si>
  <si>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</si>
  <si>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</si>
  <si>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</si>
  <si>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</si>
  <si>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</si>
  <si>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</si>
  <si>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Calculated</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</si>
  <si>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</si>
  <si>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</si>
  <si>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</si>
  <si>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</si>
  <si>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</si>
  <si>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</si>
  <si>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</si>
  <si>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Maintenance costs</t>
  </si>
  <si>
    <t>Water costs</t>
  </si>
  <si>
    <t>Water consumption (gal)</t>
  </si>
  <si>
    <t>Initial Cost per Unit (estimated retail price)</t>
  </si>
  <si>
    <t>$/1000 gal</t>
  </si>
  <si>
    <r>
      <t>lbs CO</t>
    </r>
    <r>
      <rPr>
        <vertAlign val="subscript"/>
        <sz val="10"/>
        <rFont val="Univers"/>
        <family val="2"/>
      </rPr>
      <t>2</t>
    </r>
    <r>
      <rPr>
        <sz val="10"/>
        <rFont val="Univers"/>
        <family val="2"/>
      </rPr>
      <t>/year</t>
    </r>
  </si>
  <si>
    <t>Water Rate ($/1000 gallons)</t>
  </si>
  <si>
    <t>Electric Rate ($/kWh)</t>
  </si>
  <si>
    <t>Energy and Water Prices</t>
  </si>
  <si>
    <t>Initial Cost Per Unit</t>
  </si>
  <si>
    <t>ENERGY STAR</t>
  </si>
  <si>
    <t>Conventional</t>
  </si>
  <si>
    <t>Annual Water Consumption, gal</t>
  </si>
  <si>
    <t>Annual Gas Consumption, Btu</t>
  </si>
  <si>
    <t>Electric Water Heating</t>
  </si>
  <si>
    <t>Gas Water Heating</t>
  </si>
  <si>
    <t>Power &amp; Water</t>
  </si>
  <si>
    <t xml:space="preserve">Unit Electricity Consumption </t>
  </si>
  <si>
    <t>kWh</t>
  </si>
  <si>
    <t xml:space="preserve">Unit Gas Consumption </t>
  </si>
  <si>
    <t>Therms</t>
  </si>
  <si>
    <t>Mfr. after 1994</t>
  </si>
  <si>
    <t>$/therm</t>
  </si>
  <si>
    <t>Type of Water Heating</t>
  </si>
  <si>
    <t>Annual Electricity Consumption, kWh</t>
  </si>
  <si>
    <t>Gas consumption (therm)</t>
  </si>
  <si>
    <t>Gas costs</t>
  </si>
  <si>
    <t>Energy Factor (EF)</t>
  </si>
  <si>
    <t>Energy Factor</t>
  </si>
  <si>
    <t xml:space="preserve">Annual Unit Water Consumption </t>
  </si>
  <si>
    <t>%</t>
  </si>
  <si>
    <t>DOE 2004</t>
  </si>
  <si>
    <t>Electricity Consumption per Cycle</t>
  </si>
  <si>
    <t>kWh/Cycle</t>
  </si>
  <si>
    <t>Gas Consumption per Cycle</t>
  </si>
  <si>
    <t>Therms/Cycle</t>
  </si>
  <si>
    <t>Water Consumption per Cycle</t>
  </si>
  <si>
    <t>Electric Consumption per Cycle</t>
  </si>
  <si>
    <t>Cycles/year</t>
  </si>
  <si>
    <t>Cycles/week</t>
  </si>
  <si>
    <t>Assumptions for Dishwashers</t>
  </si>
  <si>
    <t xml:space="preserve">Conventional Unit </t>
  </si>
  <si>
    <t xml:space="preserve">For questions or comments, please send your email to: </t>
  </si>
  <si>
    <t>Escalcs@cadmusgroup.com</t>
  </si>
  <si>
    <t>Gas Rate ($/therm)</t>
  </si>
  <si>
    <t>Water cost</t>
  </si>
  <si>
    <t>Gas cost</t>
  </si>
  <si>
    <t>Electricity costs</t>
  </si>
  <si>
    <t>Electricity consumption (kWh)</t>
  </si>
  <si>
    <t>Electricity cost</t>
  </si>
  <si>
    <t>Operating costs (electricity, water, and maintenance)</t>
  </si>
  <si>
    <t>Life cycle electricity saved (kWh)</t>
  </si>
  <si>
    <t>Number of Cycles (Loads) per Week</t>
  </si>
  <si>
    <t>Carbon Dioxide Equivalents</t>
  </si>
  <si>
    <t>DOE 2007</t>
  </si>
  <si>
    <t>EPA 2006</t>
  </si>
  <si>
    <t>Commercial Electricity Price</t>
  </si>
  <si>
    <t>Residential Electricity Price</t>
  </si>
  <si>
    <t>Water Rate per 1000 Gallons</t>
  </si>
  <si>
    <t>Commercial Gas Price</t>
  </si>
  <si>
    <t>Residential Gas Price</t>
  </si>
  <si>
    <t xml:space="preserve">      </t>
  </si>
  <si>
    <t>Number of Cycles per week (CPW)</t>
  </si>
  <si>
    <t>Average number of cycles per year (CPY)</t>
  </si>
  <si>
    <t>kWh/yr</t>
  </si>
  <si>
    <t>Unit Electricity Consumption (kWh/year)</t>
  </si>
  <si>
    <t>Unit Water Consumption (gal/year)</t>
  </si>
  <si>
    <t>Unit Electricity Consumption (UEC)</t>
  </si>
  <si>
    <t>kWh/cy</t>
  </si>
  <si>
    <t>Therms/cy</t>
  </si>
  <si>
    <t>gallons/cy</t>
  </si>
  <si>
    <t>gallons/yr</t>
  </si>
  <si>
    <t>Percent improvement</t>
  </si>
  <si>
    <t>Industry Research 2007</t>
  </si>
  <si>
    <t>Assume same price as ENERGY STAR model</t>
  </si>
  <si>
    <t>EIA 2007</t>
  </si>
  <si>
    <t>Last updated: 02/08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</si>
</sst>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Red]#,##0.000"/>
    <numFmt numFmtId="179" formatCode="0.000"/>
  </numFmts>
  <fonts count="68">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b/>
      <sz val="12"/>
      <color indexed="9"/>
      <name val="Univers"/>
      <family val="2"/>
    </font>
    <font>
      <sz val="10"/>
      <color indexed="9"/>
      <name val="Univers"/>
      <family val="2"/>
    </font>
    <font>
      <b/>
      <sz val="10"/>
      <color indexed="9"/>
      <name val="Univers"/>
      <family val="2"/>
    </font>
    <font>
      <u val="single"/>
      <sz val="10"/>
      <color indexed="12"/>
      <name val="Univers"/>
      <family val="2"/>
    </font>
    <font>
      <u val="single"/>
      <sz val="10"/>
      <color indexed="12"/>
      <name val="Arial"/>
      <family val="2"/>
    </font>
    <font>
      <sz val="10"/>
      <color indexed="10"/>
      <name val="Univers"/>
      <family val="2"/>
    </font>
    <font>
      <b/>
      <sz val="10"/>
      <color indexed="10"/>
      <name val="Univers"/>
      <family val="2"/>
    </font>
    <font>
      <u val="single"/>
      <sz val="10"/>
      <color indexed="36"/>
      <name val="Arial"/>
      <family val="2"/>
    </font>
    <font>
      <b/>
      <sz val="12"/>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Univers"/>
      <family val="2"/>
    </font>
    <font>
      <i/>
      <sz val="10"/>
      <color indexed="9"/>
      <name val="Univers"/>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Univers"/>
      <family val="2"/>
    </font>
    <font>
      <sz val="8"/>
      <color theme="0"/>
      <name val="Univers"/>
      <family val="2"/>
    </font>
    <font>
      <i/>
      <sz val="10"/>
      <color theme="0"/>
      <name val="Univers"/>
      <family val="2"/>
    </font>
    <font>
      <b/>
      <sz val="10"/>
      <color theme="0"/>
      <name val="Univer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9">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3" fontId="1" fillId="34" borderId="0" xfId="0" applyNumberFormat="1" applyFont="1" applyFill="1" applyBorder="1" applyAlignment="1" applyProtection="1">
      <alignment/>
      <protection/>
    </xf>
    <xf numFmtId="37" fontId="1" fillId="34" borderId="0" xfId="0" applyNumberFormat="1" applyFont="1" applyFill="1" applyBorder="1" applyAlignment="1" applyProtection="1">
      <alignment/>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1" fontId="1" fillId="0" borderId="11" xfId="59" applyNumberFormat="1" applyFont="1" applyFill="1" applyBorder="1" applyAlignment="1" applyProtection="1">
      <alignment horizontal="right"/>
      <protection/>
    </xf>
    <xf numFmtId="169" fontId="1" fillId="0" borderId="12" xfId="59" applyNumberFormat="1" applyFont="1" applyFill="1" applyBorder="1" applyAlignment="1" applyProtection="1">
      <alignment horizontal="lef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20" xfId="0" applyFont="1" applyFill="1" applyBorder="1" applyAlignment="1" applyProtection="1">
      <alignmen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3" fillId="34" borderId="11" xfId="0" applyFont="1" applyFill="1" applyBorder="1" applyAlignment="1" applyProtection="1">
      <alignment/>
      <protection/>
    </xf>
    <xf numFmtId="0" fontId="10"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21"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10"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36" borderId="21"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3" fillId="0" borderId="15" xfId="0" applyFont="1" applyFill="1" applyBorder="1" applyAlignment="1" applyProtection="1">
      <alignment/>
      <protection/>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3" fontId="1" fillId="0" borderId="11" xfId="0" applyNumberFormat="1" applyFont="1" applyFill="1" applyBorder="1" applyAlignment="1" applyProtection="1">
      <alignment horizontal="right"/>
      <protection/>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9"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9" applyFont="1" applyFill="1" applyBorder="1" applyAlignment="1" applyProtection="1">
      <alignment/>
      <protection/>
    </xf>
    <xf numFmtId="16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1" fontId="1" fillId="36" borderId="22" xfId="0" applyNumberFormat="1" applyFont="1" applyFill="1" applyBorder="1" applyAlignment="1" applyProtection="1">
      <alignment horizontal="right"/>
      <protection/>
    </xf>
    <xf numFmtId="0" fontId="1" fillId="0" borderId="0" xfId="0" applyFont="1" applyBorder="1" applyAlignment="1" applyProtection="1">
      <alignment horizontal="left" indent="1"/>
      <protection/>
    </xf>
    <xf numFmtId="164" fontId="1" fillId="0" borderId="0" xfId="0" applyNumberFormat="1" applyFont="1" applyFill="1" applyBorder="1" applyAlignment="1" applyProtection="1">
      <alignment/>
      <protection/>
    </xf>
    <xf numFmtId="38" fontId="1" fillId="0" borderId="0" xfId="0" applyNumberFormat="1" applyFont="1" applyFill="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176" fontId="1" fillId="0" borderId="0" xfId="0" applyNumberFormat="1" applyFont="1" applyFill="1" applyBorder="1" applyAlignment="1" applyProtection="1">
      <alignmen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3" fillId="0" borderId="11" xfId="0" applyFont="1" applyBorder="1" applyAlignment="1" applyProtection="1">
      <alignment horizontal="left" indent="2"/>
      <protection/>
    </xf>
    <xf numFmtId="0" fontId="1" fillId="0" borderId="11" xfId="0" applyFont="1" applyBorder="1" applyAlignment="1" applyProtection="1">
      <alignment horizontal="left" indent="3"/>
      <protection/>
    </xf>
    <xf numFmtId="0" fontId="10" fillId="0" borderId="16" xfId="0" applyFont="1" applyBorder="1" applyAlignment="1" applyProtection="1">
      <alignment/>
      <protection/>
    </xf>
    <xf numFmtId="0" fontId="10" fillId="0" borderId="11" xfId="0" applyFont="1" applyBorder="1" applyAlignment="1" applyProtection="1">
      <alignment horizontal="left"/>
      <protection/>
    </xf>
    <xf numFmtId="0" fontId="1" fillId="0" borderId="11" xfId="0" applyFont="1" applyBorder="1" applyAlignment="1" applyProtection="1">
      <alignment/>
      <protection/>
    </xf>
    <xf numFmtId="0" fontId="10" fillId="0" borderId="11" xfId="0" applyFont="1" applyFill="1" applyBorder="1" applyAlignment="1" applyProtection="1">
      <alignment/>
      <protection/>
    </xf>
    <xf numFmtId="0" fontId="1" fillId="0" borderId="11" xfId="0" applyFont="1" applyFill="1" applyBorder="1" applyAlignment="1" applyProtection="1">
      <alignment/>
      <protection/>
    </xf>
    <xf numFmtId="0" fontId="1" fillId="0" borderId="13" xfId="0" applyFont="1" applyFill="1" applyBorder="1" applyAlignment="1" applyProtection="1">
      <alignment horizontal="left" indent="1"/>
      <protection/>
    </xf>
    <xf numFmtId="164" fontId="1" fillId="0" borderId="11" xfId="0" applyNumberFormat="1" applyFont="1" applyFill="1" applyBorder="1" applyAlignment="1" applyProtection="1">
      <alignment/>
      <protection locked="0"/>
    </xf>
    <xf numFmtId="177" fontId="1" fillId="0" borderId="11" xfId="0" applyNumberFormat="1" applyFont="1" applyFill="1" applyBorder="1" applyAlignment="1" applyProtection="1">
      <alignment horizontal="right"/>
      <protection/>
    </xf>
    <xf numFmtId="3" fontId="1" fillId="0" borderId="13" xfId="0" applyNumberFormat="1" applyFont="1" applyFill="1" applyBorder="1" applyAlignment="1" applyProtection="1">
      <alignment horizontal="right"/>
      <protection/>
    </xf>
    <xf numFmtId="176" fontId="1" fillId="36" borderId="21" xfId="0" applyNumberFormat="1" applyFont="1" applyFill="1" applyBorder="1" applyAlignment="1" applyProtection="1">
      <alignment horizontal="right"/>
      <protection locked="0"/>
    </xf>
    <xf numFmtId="2" fontId="1" fillId="36" borderId="21" xfId="0" applyNumberFormat="1" applyFont="1" applyFill="1" applyBorder="1" applyAlignment="1" applyProtection="1">
      <alignment horizontal="right"/>
      <protection locked="0"/>
    </xf>
    <xf numFmtId="0" fontId="1" fillId="0" borderId="18" xfId="0" applyFont="1" applyBorder="1" applyAlignment="1" applyProtection="1">
      <alignment horizontal="left" indent="2"/>
      <protection/>
    </xf>
    <xf numFmtId="2" fontId="1" fillId="0" borderId="11" xfId="0" applyNumberFormat="1" applyFont="1" applyFill="1" applyBorder="1" applyAlignment="1" applyProtection="1">
      <alignment horizontal="right"/>
      <protection/>
    </xf>
    <xf numFmtId="0" fontId="1" fillId="33" borderId="11" xfId="0" applyFont="1" applyFill="1" applyBorder="1" applyAlignment="1" applyProtection="1">
      <alignment/>
      <protection/>
    </xf>
    <xf numFmtId="177" fontId="1" fillId="36" borderId="22" xfId="0" applyNumberFormat="1" applyFont="1" applyFill="1" applyBorder="1" applyAlignment="1" applyProtection="1">
      <alignment/>
      <protection locked="0"/>
    </xf>
    <xf numFmtId="0" fontId="19" fillId="0" borderId="0" xfId="0" applyFont="1" applyFill="1" applyBorder="1" applyAlignment="1" applyProtection="1">
      <alignment/>
      <protection/>
    </xf>
    <xf numFmtId="0" fontId="19" fillId="0" borderId="0" xfId="0" applyFont="1" applyFill="1" applyBorder="1" applyAlignment="1" applyProtection="1">
      <alignment horizontal="left" indent="1"/>
      <protection/>
    </xf>
    <xf numFmtId="0" fontId="18" fillId="0" borderId="0" xfId="0" applyFont="1" applyFill="1" applyBorder="1" applyAlignment="1" applyProtection="1">
      <alignment/>
      <protection/>
    </xf>
    <xf numFmtId="0" fontId="20" fillId="0" borderId="0" xfId="0" applyFont="1" applyFill="1" applyBorder="1" applyAlignment="1" applyProtection="1">
      <alignment horizontal="left"/>
      <protection/>
    </xf>
    <xf numFmtId="171" fontId="1" fillId="0" borderId="11" xfId="0" applyNumberFormat="1" applyFont="1" applyFill="1" applyBorder="1" applyAlignment="1" applyProtection="1">
      <alignment horizontal="right"/>
      <protection/>
    </xf>
    <xf numFmtId="0" fontId="1" fillId="0" borderId="0" xfId="0" applyFont="1" applyBorder="1" applyAlignment="1" applyProtection="1">
      <alignment horizontal="left"/>
      <protection/>
    </xf>
    <xf numFmtId="0" fontId="21" fillId="0" borderId="0" xfId="53" applyFont="1" applyAlignment="1" applyProtection="1">
      <alignment horizontal="left"/>
      <protection/>
    </xf>
    <xf numFmtId="0" fontId="1" fillId="0" borderId="0" xfId="0" applyFont="1" applyBorder="1" applyAlignment="1" applyProtection="1">
      <alignment/>
      <protection/>
    </xf>
    <xf numFmtId="0" fontId="1" fillId="0" borderId="0" xfId="0" applyFont="1" applyFill="1" applyAlignment="1" applyProtection="1">
      <alignment horizontal="right"/>
      <protection/>
    </xf>
    <xf numFmtId="167" fontId="10" fillId="35" borderId="0" xfId="0" applyNumberFormat="1" applyFont="1" applyFill="1" applyBorder="1" applyAlignment="1" applyProtection="1">
      <alignment/>
      <protection/>
    </xf>
    <xf numFmtId="169" fontId="10" fillId="35" borderId="0" xfId="0" applyNumberFormat="1" applyFont="1" applyFill="1" applyBorder="1" applyAlignment="1" applyProtection="1">
      <alignment/>
      <protection/>
    </xf>
    <xf numFmtId="3" fontId="10" fillId="35" borderId="0" xfId="0" applyNumberFormat="1" applyFont="1" applyFill="1" applyBorder="1" applyAlignment="1" applyProtection="1">
      <alignment/>
      <protection/>
    </xf>
    <xf numFmtId="9" fontId="10" fillId="35" borderId="0" xfId="59" applyFont="1" applyFill="1" applyBorder="1" applyAlignment="1" applyProtection="1">
      <alignment/>
      <protection/>
    </xf>
    <xf numFmtId="176" fontId="1" fillId="0" borderId="11" xfId="0" applyNumberFormat="1" applyFont="1" applyFill="1" applyBorder="1" applyAlignment="1" applyProtection="1">
      <alignment horizontal="right"/>
      <protection/>
    </xf>
    <xf numFmtId="176" fontId="1" fillId="0" borderId="11" xfId="0" applyNumberFormat="1" applyFont="1" applyFill="1" applyBorder="1" applyAlignment="1" applyProtection="1">
      <alignment/>
      <protection locked="0"/>
    </xf>
    <xf numFmtId="0" fontId="24" fillId="0" borderId="0" xfId="0" applyFont="1" applyFill="1" applyBorder="1" applyAlignment="1" applyProtection="1">
      <alignment horizontal="left"/>
      <protection/>
    </xf>
    <xf numFmtId="0" fontId="23" fillId="0" borderId="0" xfId="0" applyFont="1" applyFill="1" applyBorder="1" applyAlignment="1" applyProtection="1">
      <alignment/>
      <protection/>
    </xf>
    <xf numFmtId="0" fontId="23" fillId="0" borderId="0" xfId="0" applyFont="1" applyFill="1" applyBorder="1" applyAlignment="1" applyProtection="1">
      <alignment horizontal="left"/>
      <protection/>
    </xf>
    <xf numFmtId="0" fontId="23" fillId="0" borderId="0" xfId="0" applyFont="1" applyFill="1" applyBorder="1" applyAlignment="1" applyProtection="1">
      <alignment horizontal="left" indent="1"/>
      <protection/>
    </xf>
    <xf numFmtId="1" fontId="1" fillId="0" borderId="11" xfId="0" applyNumberFormat="1" applyFont="1" applyFill="1" applyBorder="1" applyAlignment="1" applyProtection="1">
      <alignment horizontal="right"/>
      <protection/>
    </xf>
    <xf numFmtId="167" fontId="23" fillId="0" borderId="0" xfId="0" applyNumberFormat="1" applyFont="1" applyFill="1" applyBorder="1" applyAlignment="1" applyProtection="1">
      <alignment horizontal="right"/>
      <protection/>
    </xf>
    <xf numFmtId="0" fontId="19" fillId="0" borderId="11" xfId="0" applyFont="1" applyFill="1" applyBorder="1" applyAlignment="1" applyProtection="1">
      <alignment horizontal="left" indent="3"/>
      <protection/>
    </xf>
    <xf numFmtId="0" fontId="26" fillId="0" borderId="0" xfId="0" applyFont="1" applyFill="1" applyBorder="1" applyAlignment="1" applyProtection="1">
      <alignment/>
      <protection/>
    </xf>
    <xf numFmtId="164" fontId="23" fillId="0" borderId="0" xfId="0" applyNumberFormat="1" applyFont="1" applyFill="1" applyBorder="1" applyAlignment="1" applyProtection="1">
      <alignment/>
      <protection/>
    </xf>
    <xf numFmtId="0" fontId="23" fillId="0" borderId="0" xfId="0" applyFont="1" applyFill="1" applyBorder="1" applyAlignment="1" applyProtection="1">
      <alignment horizontal="right"/>
      <protection/>
    </xf>
    <xf numFmtId="38" fontId="23" fillId="0" borderId="0" xfId="0" applyNumberFormat="1" applyFont="1" applyFill="1" applyBorder="1" applyAlignment="1" applyProtection="1">
      <alignment horizontal="left"/>
      <protection/>
    </xf>
    <xf numFmtId="176" fontId="23" fillId="0" borderId="0" xfId="0" applyNumberFormat="1" applyFont="1" applyFill="1" applyBorder="1" applyAlignment="1" applyProtection="1">
      <alignment/>
      <protection/>
    </xf>
    <xf numFmtId="0" fontId="23" fillId="0" borderId="0" xfId="0" applyFont="1" applyBorder="1" applyAlignment="1" applyProtection="1">
      <alignment horizontal="left" indent="1"/>
      <protection/>
    </xf>
    <xf numFmtId="0" fontId="19" fillId="0" borderId="0" xfId="0" applyFont="1" applyFill="1" applyBorder="1" applyAlignment="1" applyProtection="1">
      <alignment horizontal="left" indent="3"/>
      <protection/>
    </xf>
    <xf numFmtId="3" fontId="1" fillId="36" borderId="21" xfId="0" applyNumberFormat="1" applyFont="1" applyFill="1" applyBorder="1" applyAlignment="1" applyProtection="1">
      <alignment horizontal="right"/>
      <protection/>
    </xf>
    <xf numFmtId="0" fontId="64" fillId="0" borderId="0" xfId="0" applyFont="1" applyFill="1" applyBorder="1" applyAlignment="1" applyProtection="1">
      <alignment/>
      <protection/>
    </xf>
    <xf numFmtId="0" fontId="65" fillId="0" borderId="0" xfId="0" applyFont="1" applyFill="1" applyBorder="1" applyAlignment="1" applyProtection="1">
      <alignment/>
      <protection/>
    </xf>
    <xf numFmtId="164" fontId="64" fillId="0" borderId="0" xfId="0" applyNumberFormat="1" applyFont="1" applyFill="1" applyBorder="1" applyAlignment="1" applyProtection="1">
      <alignment/>
      <protection/>
    </xf>
    <xf numFmtId="172" fontId="66" fillId="0" borderId="0" xfId="0" applyNumberFormat="1" applyFont="1" applyFill="1" applyBorder="1" applyAlignment="1" applyProtection="1">
      <alignment/>
      <protection/>
    </xf>
    <xf numFmtId="3" fontId="64" fillId="0" borderId="0" xfId="0" applyNumberFormat="1" applyFont="1" applyFill="1" applyBorder="1" applyAlignment="1" applyProtection="1">
      <alignment/>
      <protection/>
    </xf>
    <xf numFmtId="0" fontId="64" fillId="0" borderId="0" xfId="0" applyFont="1" applyFill="1" applyBorder="1" applyAlignment="1" applyProtection="1">
      <alignment horizontal="center"/>
      <protection/>
    </xf>
    <xf numFmtId="0" fontId="64" fillId="0" borderId="0" xfId="0" applyFont="1" applyFill="1" applyBorder="1" applyAlignment="1" applyProtection="1">
      <alignment horizontal="left"/>
      <protection/>
    </xf>
    <xf numFmtId="38" fontId="64" fillId="0" borderId="0" xfId="0" applyNumberFormat="1" applyFont="1" applyFill="1" applyBorder="1" applyAlignment="1" applyProtection="1">
      <alignment horizontal="left"/>
      <protection/>
    </xf>
    <xf numFmtId="167" fontId="64" fillId="0" borderId="0" xfId="0" applyNumberFormat="1" applyFont="1" applyFill="1" applyBorder="1" applyAlignment="1" applyProtection="1">
      <alignment horizontal="right"/>
      <protection/>
    </xf>
    <xf numFmtId="1" fontId="64" fillId="0" borderId="0" xfId="0" applyNumberFormat="1" applyFont="1" applyFill="1" applyBorder="1" applyAlignment="1" applyProtection="1">
      <alignment/>
      <protection/>
    </xf>
    <xf numFmtId="0" fontId="64" fillId="0" borderId="0" xfId="0" applyFont="1" applyFill="1" applyBorder="1" applyAlignment="1" applyProtection="1">
      <alignment horizontal="left" indent="1"/>
      <protection/>
    </xf>
    <xf numFmtId="0" fontId="64" fillId="0" borderId="0" xfId="0" applyFont="1" applyBorder="1" applyAlignment="1" applyProtection="1">
      <alignment horizontal="left" indent="1"/>
      <protection/>
    </xf>
    <xf numFmtId="0" fontId="64" fillId="0" borderId="0" xfId="0" applyFont="1" applyBorder="1" applyAlignment="1" applyProtection="1">
      <alignment/>
      <protection/>
    </xf>
    <xf numFmtId="0" fontId="1" fillId="0" borderId="18" xfId="0" applyFont="1" applyFill="1" applyBorder="1" applyAlignment="1" applyProtection="1">
      <alignment/>
      <protection/>
    </xf>
    <xf numFmtId="0" fontId="16" fillId="0" borderId="0" xfId="0" applyFont="1" applyAlignment="1" applyProtection="1">
      <alignment horizontal="left"/>
      <protection/>
    </xf>
    <xf numFmtId="0" fontId="12" fillId="0" borderId="0" xfId="0" applyFont="1" applyAlignment="1">
      <alignment horizontal="center" wrapText="1"/>
    </xf>
    <xf numFmtId="0" fontId="10" fillId="34" borderId="23" xfId="0" applyFont="1" applyFill="1" applyBorder="1" applyAlignment="1" applyProtection="1">
      <alignment horizontal="center" wrapText="1"/>
      <protection/>
    </xf>
    <xf numFmtId="0" fontId="15" fillId="0" borderId="17" xfId="0" applyFont="1" applyBorder="1" applyAlignment="1" applyProtection="1">
      <alignment horizontal="left" wrapText="1"/>
      <protection/>
    </xf>
    <xf numFmtId="0" fontId="16" fillId="0" borderId="17" xfId="0" applyFont="1" applyBorder="1" applyAlignment="1" applyProtection="1">
      <alignment horizontal="left" wrapText="1"/>
      <protection/>
    </xf>
    <xf numFmtId="3" fontId="2" fillId="34" borderId="0" xfId="0" applyNumberFormat="1" applyFont="1" applyFill="1" applyBorder="1" applyAlignment="1" applyProtection="1">
      <alignment horizontal="right" indent="1"/>
      <protection/>
    </xf>
    <xf numFmtId="0" fontId="0" fillId="0" borderId="0" xfId="0" applyAlignment="1">
      <alignment horizontal="right" indent="1"/>
    </xf>
    <xf numFmtId="0" fontId="10" fillId="33" borderId="14" xfId="0" applyFont="1" applyFill="1" applyBorder="1" applyAlignment="1" applyProtection="1">
      <alignment horizontal="center" vertical="top" wrapText="1"/>
      <protection/>
    </xf>
    <xf numFmtId="0" fontId="3" fillId="33" borderId="0" xfId="0" applyFont="1" applyFill="1" applyBorder="1" applyAlignment="1" applyProtection="1">
      <alignment horizontal="center" wrapText="1"/>
      <protection/>
    </xf>
    <xf numFmtId="0" fontId="11" fillId="0" borderId="0" xfId="0" applyFont="1" applyAlignment="1">
      <alignment horizontal="center" wrapText="1"/>
    </xf>
    <xf numFmtId="0" fontId="1" fillId="0" borderId="0" xfId="0" applyFont="1" applyAlignment="1">
      <alignment horizontal="left" wrapText="1"/>
    </xf>
    <xf numFmtId="0" fontId="67" fillId="0" borderId="0" xfId="0" applyFont="1" applyFill="1" applyBorder="1" applyAlignment="1" applyProtection="1">
      <alignment horizontal="left" wrapText="1"/>
      <protection/>
    </xf>
    <xf numFmtId="0" fontId="64" fillId="0" borderId="0" xfId="0" applyFont="1" applyFill="1" applyBorder="1" applyAlignment="1" applyProtection="1">
      <alignment horizontal="center"/>
      <protection/>
    </xf>
    <xf numFmtId="0" fontId="64" fillId="0" borderId="0" xfId="0" applyFont="1" applyFill="1" applyBorder="1" applyAlignment="1" applyProtection="1">
      <alignment horizontal="center"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3" fillId="0" borderId="14"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0295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74"/>
  <sheetViews>
    <sheetView tabSelected="1" zoomScale="85" zoomScaleNormal="85" zoomScalePageLayoutView="0" workbookViewId="0" topLeftCell="A1">
      <selection activeCell="K16" sqref="K16"/>
    </sheetView>
  </sheetViews>
  <sheetFormatPr defaultColWidth="9.140625" defaultRowHeight="12.75" outlineLevelRow="1"/>
  <cols>
    <col min="1" max="1" width="40.28125" style="1" customWidth="1"/>
    <col min="2" max="2" width="5.28125" style="1" customWidth="1"/>
    <col min="3" max="3" width="15.140625" style="1" customWidth="1"/>
    <col min="4" max="4" width="4.57421875" style="1" customWidth="1"/>
    <col min="5" max="5" width="4.7109375" style="1" customWidth="1"/>
    <col min="6" max="6" width="2.57421875" style="1" customWidth="1"/>
    <col min="7" max="7" width="14.7109375" style="1" customWidth="1"/>
    <col min="8" max="8" width="2.0039062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10" t="s">
        <v>0</v>
      </c>
      <c r="B7" s="210"/>
      <c r="C7" s="210"/>
      <c r="D7" s="210"/>
      <c r="E7" s="210"/>
      <c r="F7" s="210"/>
      <c r="G7" s="210"/>
      <c r="H7" s="210"/>
      <c r="I7" s="210"/>
      <c r="J7" s="210"/>
      <c r="K7" s="210"/>
      <c r="L7" s="210"/>
      <c r="M7" s="210"/>
    </row>
    <row r="8" spans="1:13" ht="15.75" customHeight="1">
      <c r="A8" s="210" t="str">
        <f>""&amp;C16&amp;" ENERGY STAR Qualified Dishwasher(s)"</f>
        <v>20 ENERGY STAR Qualified Dishwasher(s)</v>
      </c>
      <c r="B8" s="210"/>
      <c r="C8" s="210"/>
      <c r="D8" s="210"/>
      <c r="E8" s="210"/>
      <c r="F8" s="210"/>
      <c r="G8" s="210"/>
      <c r="H8" s="210"/>
      <c r="I8" s="210"/>
      <c r="J8" s="210"/>
      <c r="K8" s="210"/>
      <c r="L8" s="210"/>
      <c r="M8" s="210"/>
    </row>
    <row r="9" spans="1:13" s="3" customFormat="1" ht="12.75">
      <c r="A9" s="2"/>
      <c r="B9" s="2"/>
      <c r="C9" s="2"/>
      <c r="D9" s="2"/>
      <c r="E9" s="2"/>
      <c r="F9" s="2"/>
      <c r="G9" s="2"/>
      <c r="H9" s="2"/>
      <c r="I9" s="2"/>
      <c r="J9" s="2"/>
      <c r="K9" s="2"/>
      <c r="L9" s="2"/>
      <c r="M9" s="2"/>
    </row>
    <row r="10" spans="1:13" ht="15.75" customHeight="1">
      <c r="A10" s="43"/>
      <c r="B10" s="43"/>
      <c r="C10" s="43"/>
      <c r="D10" s="43"/>
      <c r="E10" s="43"/>
      <c r="F10" s="43"/>
      <c r="G10" s="43"/>
      <c r="H10" s="43"/>
      <c r="I10" s="43"/>
      <c r="J10" s="43"/>
      <c r="K10" s="43"/>
      <c r="L10" s="43"/>
      <c r="M10" s="43"/>
    </row>
    <row r="11" spans="1:13" s="3" customFormat="1" ht="24" customHeight="1">
      <c r="A11" s="211" t="s">
        <v>39</v>
      </c>
      <c r="B11" s="211"/>
      <c r="C11" s="211"/>
      <c r="D11" s="211"/>
      <c r="E11" s="211"/>
      <c r="F11" s="211"/>
      <c r="G11" s="211"/>
      <c r="H11" s="211"/>
      <c r="I11" s="211"/>
      <c r="J11" s="211"/>
      <c r="K11" s="211"/>
      <c r="L11" s="211"/>
      <c r="M11" s="211"/>
    </row>
    <row r="12" spans="1:13" s="3" customFormat="1" ht="12.75">
      <c r="A12" s="2"/>
      <c r="B12" s="2"/>
      <c r="C12" s="2"/>
      <c r="D12" s="2"/>
      <c r="E12" s="2"/>
      <c r="F12" s="2"/>
      <c r="G12" s="2"/>
      <c r="H12" s="2"/>
      <c r="I12" s="2"/>
      <c r="J12" s="2"/>
      <c r="K12" s="2"/>
      <c r="L12" s="2"/>
      <c r="M12" s="2"/>
    </row>
    <row r="13" ht="15.75" customHeight="1">
      <c r="A13" s="29"/>
    </row>
    <row r="14" spans="1:13" ht="15.75">
      <c r="A14" s="202" t="s">
        <v>1</v>
      </c>
      <c r="B14" s="202"/>
      <c r="C14" s="202"/>
      <c r="D14" s="202"/>
      <c r="E14" s="202"/>
      <c r="F14" s="202"/>
      <c r="G14" s="202"/>
      <c r="H14" s="202"/>
      <c r="I14" s="202"/>
      <c r="J14" s="202"/>
      <c r="K14" s="202"/>
      <c r="L14" s="202"/>
      <c r="M14" s="202"/>
    </row>
    <row r="15" spans="1:13" ht="4.5" customHeight="1" thickBot="1">
      <c r="A15" s="44"/>
      <c r="B15" s="45"/>
      <c r="C15" s="45"/>
      <c r="D15" s="45"/>
      <c r="E15" s="45"/>
      <c r="F15" s="45"/>
      <c r="G15" s="45"/>
      <c r="H15" s="45"/>
      <c r="I15" s="45"/>
      <c r="J15" s="45"/>
      <c r="K15" s="45"/>
      <c r="L15" s="45"/>
      <c r="M15" s="4"/>
    </row>
    <row r="16" spans="1:14" ht="15.75" customHeight="1" thickBot="1">
      <c r="A16" s="5" t="s">
        <v>2</v>
      </c>
      <c r="B16" s="6"/>
      <c r="C16" s="92">
        <v>20</v>
      </c>
      <c r="D16" s="7"/>
      <c r="E16" s="7"/>
      <c r="F16" s="7"/>
      <c r="G16" s="7"/>
      <c r="H16" s="7"/>
      <c r="I16" s="7"/>
      <c r="J16" s="7"/>
      <c r="K16" s="7"/>
      <c r="L16" s="7"/>
      <c r="M16" s="8"/>
      <c r="N16" s="9"/>
    </row>
    <row r="17" spans="1:13" ht="15.75" customHeight="1" thickBot="1">
      <c r="A17" s="10" t="s">
        <v>50</v>
      </c>
      <c r="B17" s="6"/>
      <c r="C17" s="156">
        <f>Assumptions!B49</f>
        <v>0.09039</v>
      </c>
      <c r="D17" s="7"/>
      <c r="E17" s="7"/>
      <c r="F17" s="7"/>
      <c r="G17" s="7"/>
      <c r="H17" s="7"/>
      <c r="I17" s="7"/>
      <c r="J17" s="7"/>
      <c r="K17" s="7"/>
      <c r="L17" s="7"/>
      <c r="M17" s="8"/>
    </row>
    <row r="18" spans="1:13" ht="15.75" customHeight="1" thickBot="1">
      <c r="A18" s="10" t="s">
        <v>49</v>
      </c>
      <c r="B18" s="6"/>
      <c r="C18" s="156">
        <f>Assumptions!B51</f>
        <v>4.158</v>
      </c>
      <c r="D18" s="7"/>
      <c r="E18" s="7"/>
      <c r="F18" s="7"/>
      <c r="G18" s="7"/>
      <c r="H18" s="7"/>
      <c r="I18" s="7"/>
      <c r="J18" s="7"/>
      <c r="K18" s="7"/>
      <c r="L18" s="7"/>
      <c r="M18" s="8"/>
    </row>
    <row r="19" spans="1:13" ht="15.75" customHeight="1" thickBot="1">
      <c r="A19" s="10" t="s">
        <v>87</v>
      </c>
      <c r="B19" s="6"/>
      <c r="C19" s="156">
        <f>Assumptions!B52</f>
        <v>1.1712</v>
      </c>
      <c r="D19" s="7"/>
      <c r="E19" s="7"/>
      <c r="F19" s="7"/>
      <c r="G19" s="7"/>
      <c r="H19" s="7"/>
      <c r="I19" s="7"/>
      <c r="J19" s="7"/>
      <c r="K19" s="7"/>
      <c r="L19" s="7"/>
      <c r="M19" s="8"/>
    </row>
    <row r="20" spans="1:13" ht="14.25" customHeight="1" thickBot="1">
      <c r="A20" s="155" t="s">
        <v>95</v>
      </c>
      <c r="B20" s="7"/>
      <c r="C20" s="128">
        <f>Assumptions!B43</f>
        <v>4.134615384615385</v>
      </c>
      <c r="D20" s="41"/>
      <c r="E20" s="41"/>
      <c r="F20" s="41"/>
      <c r="G20" s="7"/>
      <c r="H20" s="7"/>
      <c r="I20" s="7"/>
      <c r="J20" s="7"/>
      <c r="K20" s="7"/>
      <c r="L20" s="7"/>
      <c r="M20" s="8"/>
    </row>
    <row r="21" spans="1:14" ht="15.75" customHeight="1">
      <c r="A21" s="10" t="s">
        <v>66</v>
      </c>
      <c r="B21" s="6"/>
      <c r="C21" s="12" t="s">
        <v>73</v>
      </c>
      <c r="D21" s="7"/>
      <c r="E21" s="7"/>
      <c r="F21" s="7"/>
      <c r="G21" s="7"/>
      <c r="H21" s="7"/>
      <c r="I21" s="7"/>
      <c r="J21" s="7"/>
      <c r="K21" s="7"/>
      <c r="L21" s="7"/>
      <c r="M21" s="8"/>
      <c r="N21" s="9"/>
    </row>
    <row r="22" spans="1:14" ht="6.75" customHeight="1">
      <c r="A22" s="11"/>
      <c r="B22" s="6"/>
      <c r="C22" s="12"/>
      <c r="D22" s="7"/>
      <c r="E22" s="7"/>
      <c r="F22" s="7"/>
      <c r="G22" s="7"/>
      <c r="H22" s="7"/>
      <c r="I22" s="7"/>
      <c r="J22" s="7"/>
      <c r="K22" s="7"/>
      <c r="L22" s="7"/>
      <c r="M22" s="8"/>
      <c r="N22" s="9"/>
    </row>
    <row r="23" spans="1:13" ht="30.75" customHeight="1">
      <c r="A23" s="58"/>
      <c r="B23" s="208" t="s">
        <v>3</v>
      </c>
      <c r="C23" s="208"/>
      <c r="D23" s="208"/>
      <c r="E23" s="47"/>
      <c r="F23" s="208" t="s">
        <v>4</v>
      </c>
      <c r="G23" s="208"/>
      <c r="H23" s="208"/>
      <c r="I23" s="47"/>
      <c r="J23" s="209"/>
      <c r="K23" s="209"/>
      <c r="L23" s="209"/>
      <c r="M23" s="8"/>
    </row>
    <row r="24" spans="1:13" ht="18.75" customHeight="1" thickBot="1">
      <c r="A24" s="46"/>
      <c r="B24" s="47"/>
      <c r="C24" s="47"/>
      <c r="D24" s="47"/>
      <c r="E24" s="47"/>
      <c r="F24" s="47"/>
      <c r="G24" s="96"/>
      <c r="H24" s="47"/>
      <c r="I24" s="47"/>
      <c r="J24" s="47"/>
      <c r="K24" s="47"/>
      <c r="L24" s="47"/>
      <c r="M24" s="8"/>
    </row>
    <row r="25" spans="1:13" ht="15.75" customHeight="1" thickBot="1">
      <c r="A25" s="5" t="s">
        <v>46</v>
      </c>
      <c r="B25" s="7"/>
      <c r="C25" s="98">
        <f>Assumptions!B6</f>
        <v>545</v>
      </c>
      <c r="D25" s="13"/>
      <c r="E25" s="13"/>
      <c r="F25" s="13"/>
      <c r="G25" s="98">
        <f>Assumptions!B22</f>
        <v>545</v>
      </c>
      <c r="H25" s="13"/>
      <c r="I25" s="13"/>
      <c r="J25" s="14"/>
      <c r="K25" s="7"/>
      <c r="L25" s="13"/>
      <c r="M25" s="8"/>
    </row>
    <row r="26" spans="1:13" ht="15.75" customHeight="1" thickBot="1">
      <c r="A26" s="5" t="s">
        <v>70</v>
      </c>
      <c r="B26" s="7"/>
      <c r="C26" s="152">
        <f>Assumptions!B7</f>
        <v>0.65</v>
      </c>
      <c r="D26" s="13"/>
      <c r="E26" s="13"/>
      <c r="F26" s="13"/>
      <c r="G26" s="151">
        <f>Assumptions!B23</f>
        <v>0.46</v>
      </c>
      <c r="H26" s="13"/>
      <c r="I26" s="13"/>
      <c r="J26" s="14"/>
      <c r="K26" s="7"/>
      <c r="L26" s="13"/>
      <c r="M26" s="8"/>
    </row>
    <row r="27" spans="1:13" ht="15.75" customHeight="1" thickBot="1">
      <c r="A27" s="5" t="s">
        <v>108</v>
      </c>
      <c r="B27" s="7"/>
      <c r="C27" s="186">
        <f>IF(Assumptions!E6=1,Assumptions!B13,Assumptions!B17)</f>
        <v>330.7692307692308</v>
      </c>
      <c r="D27" s="105"/>
      <c r="E27" s="105"/>
      <c r="F27" s="105"/>
      <c r="G27" s="186">
        <f>IF(Assumptions!E6=1,Assumptions!H6,IF(Assumptions!E6=2,Assumptions!H7))</f>
        <v>467.39130434782606</v>
      </c>
      <c r="H27" s="13"/>
      <c r="I27" s="13"/>
      <c r="J27" s="14"/>
      <c r="K27" s="7"/>
      <c r="L27" s="13"/>
      <c r="M27" s="8"/>
    </row>
    <row r="28" spans="1:13" ht="15.75" customHeight="1" thickBot="1">
      <c r="A28" s="5" t="s">
        <v>109</v>
      </c>
      <c r="B28" s="7"/>
      <c r="C28" s="186">
        <f>IF(Assumptions!E6=1,Assumptions!G11,IF(Assumptions!E6=2,Assumptions!G12))</f>
        <v>860</v>
      </c>
      <c r="D28" s="105"/>
      <c r="E28" s="105"/>
      <c r="F28" s="105"/>
      <c r="G28" s="186">
        <f>IF(Assumptions!E6=1,Assumptions!H11,IF(Assumptions!E6=2,Assumptions!H12))</f>
        <v>1290</v>
      </c>
      <c r="H28" s="13"/>
      <c r="I28" s="13"/>
      <c r="J28" s="14"/>
      <c r="K28" s="7"/>
      <c r="L28" s="13"/>
      <c r="M28" s="8"/>
    </row>
    <row r="29" spans="1:13" ht="4.5" customHeight="1">
      <c r="A29" s="15"/>
      <c r="B29" s="16"/>
      <c r="C29" s="90"/>
      <c r="D29" s="16"/>
      <c r="E29" s="16"/>
      <c r="F29" s="16"/>
      <c r="G29" s="91"/>
      <c r="H29" s="16"/>
      <c r="I29" s="16"/>
      <c r="J29" s="16"/>
      <c r="K29" s="16"/>
      <c r="L29" s="16"/>
      <c r="M29" s="17"/>
    </row>
    <row r="30" ht="14.25" customHeight="1">
      <c r="A30" s="48"/>
    </row>
    <row r="31" ht="15.75" customHeight="1">
      <c r="A31" s="49"/>
    </row>
    <row r="32" spans="1:13" ht="15.75">
      <c r="A32" s="202" t="str">
        <f>"Annual and Life Cycle Costs and Savings for "&amp;C16&amp;" Dishwasher(s)"</f>
        <v>Annual and Life Cycle Costs and Savings for 20 Dishwasher(s)</v>
      </c>
      <c r="B32" s="202"/>
      <c r="C32" s="202"/>
      <c r="D32" s="202"/>
      <c r="E32" s="202"/>
      <c r="F32" s="202"/>
      <c r="G32" s="202"/>
      <c r="H32" s="202"/>
      <c r="I32" s="202"/>
      <c r="J32" s="202"/>
      <c r="K32" s="202"/>
      <c r="L32" s="202"/>
      <c r="M32" s="202"/>
    </row>
    <row r="33" spans="1:13" ht="31.5" customHeight="1">
      <c r="A33" s="18"/>
      <c r="B33" s="203" t="str">
        <f>""&amp;C16&amp;" ENERGY STAR Qualified Unit(s)"</f>
        <v>20 ENERGY STAR Qualified Unit(s)</v>
      </c>
      <c r="C33" s="203"/>
      <c r="D33" s="203"/>
      <c r="E33" s="50"/>
      <c r="F33" s="203" t="str">
        <f>""&amp;C16&amp;" Conventional Unit(s)"</f>
        <v>20 Conventional Unit(s)</v>
      </c>
      <c r="G33" s="203"/>
      <c r="H33" s="203"/>
      <c r="I33" s="50"/>
      <c r="J33" s="203" t="s">
        <v>5</v>
      </c>
      <c r="K33" s="203"/>
      <c r="L33" s="203"/>
      <c r="M33" s="19"/>
    </row>
    <row r="34" spans="1:13" ht="15.75" customHeight="1">
      <c r="A34" s="88" t="s">
        <v>30</v>
      </c>
      <c r="B34" s="20"/>
      <c r="C34" s="20"/>
      <c r="D34" s="20"/>
      <c r="E34" s="20"/>
      <c r="F34" s="20"/>
      <c r="G34" s="20"/>
      <c r="H34" s="20"/>
      <c r="I34" s="20"/>
      <c r="J34" s="20"/>
      <c r="K34" s="20"/>
      <c r="L34" s="20"/>
      <c r="M34" s="21"/>
    </row>
    <row r="35" spans="1:13" ht="15.75" customHeight="1">
      <c r="A35" s="22" t="s">
        <v>92</v>
      </c>
      <c r="B35" s="20"/>
      <c r="C35" s="121">
        <f>C36*C17</f>
        <v>597.9646153846154</v>
      </c>
      <c r="D35" s="20"/>
      <c r="E35" s="20"/>
      <c r="F35" s="20"/>
      <c r="G35" s="23">
        <f>G36*C17</f>
        <v>844.95</v>
      </c>
      <c r="H35" s="20"/>
      <c r="I35" s="20"/>
      <c r="J35" s="20"/>
      <c r="K35" s="23">
        <f aca="true" t="shared" si="0" ref="K35:K41">G35-C35</f>
        <v>246.98538461538465</v>
      </c>
      <c r="L35" s="20"/>
      <c r="M35" s="21"/>
    </row>
    <row r="36" spans="1:13" s="3" customFormat="1" ht="15.75" customHeight="1" hidden="1" outlineLevel="1">
      <c r="A36" s="122" t="s">
        <v>91</v>
      </c>
      <c r="B36" s="123"/>
      <c r="C36" s="124">
        <f>'Dishwasher Calculator'!C27*C16</f>
        <v>6615.384615384615</v>
      </c>
      <c r="D36" s="125"/>
      <c r="E36" s="125"/>
      <c r="F36" s="125"/>
      <c r="G36" s="124">
        <f>(G27*C16)</f>
        <v>9347.826086956522</v>
      </c>
      <c r="H36" s="125"/>
      <c r="I36" s="125"/>
      <c r="J36" s="125"/>
      <c r="K36" s="124">
        <f t="shared" si="0"/>
        <v>2732.4414715719067</v>
      </c>
      <c r="L36" s="125"/>
      <c r="M36" s="126"/>
    </row>
    <row r="37" spans="1:13" ht="15.75" customHeight="1" collapsed="1">
      <c r="A37" s="108" t="s">
        <v>88</v>
      </c>
      <c r="B37" s="20"/>
      <c r="C37" s="121">
        <f>C38*C18/1000</f>
        <v>71.5176</v>
      </c>
      <c r="D37" s="25"/>
      <c r="E37" s="25"/>
      <c r="F37" s="25"/>
      <c r="G37" s="23">
        <f>G38*C18/1000</f>
        <v>107.27640000000001</v>
      </c>
      <c r="H37" s="25"/>
      <c r="I37" s="25"/>
      <c r="J37" s="25"/>
      <c r="K37" s="23">
        <f t="shared" si="0"/>
        <v>35.75880000000001</v>
      </c>
      <c r="L37" s="25"/>
      <c r="M37" s="21"/>
    </row>
    <row r="38" spans="1:13" s="3" customFormat="1" ht="15.75" customHeight="1" hidden="1" outlineLevel="1">
      <c r="A38" s="122" t="s">
        <v>45</v>
      </c>
      <c r="B38" s="123"/>
      <c r="C38" s="124">
        <f>C16*C28</f>
        <v>17200</v>
      </c>
      <c r="D38" s="125"/>
      <c r="E38" s="125"/>
      <c r="F38" s="125"/>
      <c r="G38" s="124">
        <f>C16*G28</f>
        <v>25800</v>
      </c>
      <c r="H38" s="125"/>
      <c r="I38" s="125"/>
      <c r="J38" s="125"/>
      <c r="K38" s="124">
        <f t="shared" si="0"/>
        <v>8600</v>
      </c>
      <c r="L38" s="125"/>
      <c r="M38" s="126"/>
    </row>
    <row r="39" spans="1:13" ht="15.75" customHeight="1" collapsed="1">
      <c r="A39" s="108" t="s">
        <v>89</v>
      </c>
      <c r="B39" s="20"/>
      <c r="C39" s="121">
        <f>C40*C19</f>
        <v>0</v>
      </c>
      <c r="D39" s="25"/>
      <c r="E39" s="25"/>
      <c r="F39" s="25"/>
      <c r="G39" s="23">
        <f>G40*C19</f>
        <v>0</v>
      </c>
      <c r="H39" s="25"/>
      <c r="I39" s="25"/>
      <c r="J39" s="25"/>
      <c r="K39" s="23">
        <f t="shared" si="0"/>
        <v>0</v>
      </c>
      <c r="L39" s="25"/>
      <c r="M39" s="21"/>
    </row>
    <row r="40" spans="1:13" s="3" customFormat="1" ht="15.75" customHeight="1" hidden="1" outlineLevel="1">
      <c r="A40" s="122" t="s">
        <v>68</v>
      </c>
      <c r="B40" s="123"/>
      <c r="C40" s="124">
        <f>IF(Assumptions!E6=1,C16*Assumptions!G17,IF(Assumptions!E6=2,C16*Assumptions!G18))</f>
        <v>0</v>
      </c>
      <c r="D40" s="125"/>
      <c r="E40" s="125"/>
      <c r="F40" s="125"/>
      <c r="G40" s="124">
        <f>IF(Assumptions!E6=1,C16*Assumptions!H17,IF(Assumptions!E6=2,C16*Assumptions!H18))</f>
        <v>0</v>
      </c>
      <c r="H40" s="125"/>
      <c r="I40" s="125"/>
      <c r="J40" s="125"/>
      <c r="K40" s="124">
        <f t="shared" si="0"/>
        <v>0</v>
      </c>
      <c r="L40" s="125"/>
      <c r="M40" s="126"/>
    </row>
    <row r="41" spans="1:13" ht="15.75" customHeight="1" collapsed="1">
      <c r="A41" s="106" t="s">
        <v>6</v>
      </c>
      <c r="B41" s="20"/>
      <c r="C41" s="104">
        <f>C16*(Assumptions!B38*Assumptions!B39)</f>
        <v>0</v>
      </c>
      <c r="D41" s="20"/>
      <c r="E41" s="20"/>
      <c r="F41" s="20"/>
      <c r="G41" s="23">
        <f>C16*(Assumptions!B38*Assumptions!B39)</f>
        <v>0</v>
      </c>
      <c r="H41" s="20"/>
      <c r="I41" s="20"/>
      <c r="J41" s="20"/>
      <c r="K41" s="23">
        <f t="shared" si="0"/>
        <v>0</v>
      </c>
      <c r="L41" s="20"/>
      <c r="M41" s="21"/>
    </row>
    <row r="42" spans="1:13" s="29" customFormat="1" ht="15.75" customHeight="1">
      <c r="A42" s="89" t="s">
        <v>7</v>
      </c>
      <c r="B42" s="27"/>
      <c r="C42" s="53">
        <f>C35+C39+C41+C37</f>
        <v>669.4822153846154</v>
      </c>
      <c r="D42" s="27"/>
      <c r="E42" s="27"/>
      <c r="F42" s="27"/>
      <c r="G42" s="53">
        <f>G35+G39+G41+G37</f>
        <v>952.2264</v>
      </c>
      <c r="H42" s="27"/>
      <c r="I42" s="27"/>
      <c r="J42" s="27"/>
      <c r="K42" s="53">
        <f>K35+K39+K41+K37</f>
        <v>282.74418461538465</v>
      </c>
      <c r="L42" s="27"/>
      <c r="M42" s="28"/>
    </row>
    <row r="43" spans="1:13" ht="15.75" customHeight="1">
      <c r="A43" s="22"/>
      <c r="B43" s="20"/>
      <c r="C43" s="20"/>
      <c r="D43" s="20"/>
      <c r="E43" s="20"/>
      <c r="F43" s="20"/>
      <c r="G43" s="20"/>
      <c r="H43" s="20"/>
      <c r="I43" s="20"/>
      <c r="J43" s="20"/>
      <c r="K43" s="20"/>
      <c r="L43" s="20"/>
      <c r="M43" s="21"/>
    </row>
    <row r="44" spans="1:13" ht="15.75" customHeight="1">
      <c r="A44" s="88" t="s">
        <v>31</v>
      </c>
      <c r="B44" s="20"/>
      <c r="C44" s="20"/>
      <c r="D44" s="20"/>
      <c r="E44" s="20"/>
      <c r="F44" s="20"/>
      <c r="G44" s="20"/>
      <c r="H44" s="20"/>
      <c r="I44" s="20"/>
      <c r="J44" s="20"/>
      <c r="K44" s="20"/>
      <c r="L44" s="20"/>
      <c r="M44" s="21"/>
    </row>
    <row r="45" spans="1:13" ht="15.75" customHeight="1">
      <c r="A45" s="42" t="s">
        <v>93</v>
      </c>
      <c r="B45" s="20"/>
      <c r="C45" s="23">
        <f>C46+C48+C52+C50</f>
        <v>5864.983356250915</v>
      </c>
      <c r="D45" s="20"/>
      <c r="E45" s="20"/>
      <c r="F45" s="20"/>
      <c r="G45" s="23">
        <f>G46+G48+G52+G50</f>
        <v>8341.957200721577</v>
      </c>
      <c r="H45" s="20"/>
      <c r="I45" s="20"/>
      <c r="J45" s="20"/>
      <c r="K45" s="23">
        <f>G45-C45</f>
        <v>2476.9738444706627</v>
      </c>
      <c r="L45" s="20"/>
      <c r="M45" s="21"/>
    </row>
    <row r="46" spans="1:13" ht="15.75" customHeight="1">
      <c r="A46" s="24" t="s">
        <v>90</v>
      </c>
      <c r="B46" s="20"/>
      <c r="C46" s="23">
        <f>PV(Assumptions!B46,Assumptions!B8,-C35,,0)</f>
        <v>5238.455087030144</v>
      </c>
      <c r="D46" s="20"/>
      <c r="E46" s="20"/>
      <c r="F46" s="20"/>
      <c r="G46" s="23">
        <f>PV(Assumptions!B46,Assumptions!B24,-G35,,0)</f>
        <v>7402.164796890421</v>
      </c>
      <c r="H46" s="20"/>
      <c r="I46" s="20"/>
      <c r="J46" s="20"/>
      <c r="K46" s="23">
        <f>G46-C46</f>
        <v>2163.709709860277</v>
      </c>
      <c r="L46" s="20"/>
      <c r="M46" s="21"/>
    </row>
    <row r="47" spans="1:13" s="3" customFormat="1" ht="15.75" customHeight="1" hidden="1" outlineLevel="1">
      <c r="A47" s="122" t="s">
        <v>91</v>
      </c>
      <c r="B47" s="123"/>
      <c r="C47" s="124">
        <f>C36*Assumptions!B8</f>
        <v>72769.23076923077</v>
      </c>
      <c r="D47" s="125"/>
      <c r="E47" s="125"/>
      <c r="F47" s="125"/>
      <c r="G47" s="124">
        <f>G36*Assumptions!B24</f>
        <v>102826.08695652174</v>
      </c>
      <c r="H47" s="125"/>
      <c r="I47" s="125"/>
      <c r="J47" s="125"/>
      <c r="K47" s="124">
        <f>G47-C47</f>
        <v>30056.856187290978</v>
      </c>
      <c r="L47" s="127"/>
      <c r="M47" s="126"/>
    </row>
    <row r="48" spans="1:13" ht="15.75" customHeight="1" collapsed="1">
      <c r="A48" s="24" t="s">
        <v>44</v>
      </c>
      <c r="B48" s="20"/>
      <c r="C48" s="23">
        <f>PV(Assumptions!B46,Assumptions!B8,-C37,,0)</f>
        <v>626.5282692207709</v>
      </c>
      <c r="D48" s="25"/>
      <c r="E48" s="25"/>
      <c r="F48" s="25"/>
      <c r="G48" s="23">
        <f>PV(Assumptions!B46,Assumptions!B24,-G37,,0)</f>
        <v>939.7924038311563</v>
      </c>
      <c r="H48" s="25"/>
      <c r="I48" s="25"/>
      <c r="J48" s="25"/>
      <c r="K48" s="23">
        <f>G48-C48</f>
        <v>313.26413461038544</v>
      </c>
      <c r="L48" s="26"/>
      <c r="M48" s="21"/>
    </row>
    <row r="49" spans="1:13" s="3" customFormat="1" ht="15.75" customHeight="1" hidden="1" outlineLevel="1">
      <c r="A49" s="122" t="s">
        <v>45</v>
      </c>
      <c r="B49" s="123"/>
      <c r="C49" s="124">
        <f>C38*Assumptions!B8</f>
        <v>189200</v>
      </c>
      <c r="D49" s="125"/>
      <c r="E49" s="125"/>
      <c r="F49" s="125"/>
      <c r="G49" s="124">
        <f>G38*Assumptions!B24</f>
        <v>283800</v>
      </c>
      <c r="H49" s="125"/>
      <c r="I49" s="125"/>
      <c r="J49" s="206">
        <f>G49-C49</f>
        <v>94600</v>
      </c>
      <c r="K49" s="207"/>
      <c r="L49" s="127"/>
      <c r="M49" s="126"/>
    </row>
    <row r="50" spans="1:13" ht="15.75" customHeight="1" collapsed="1">
      <c r="A50" s="24" t="s">
        <v>69</v>
      </c>
      <c r="B50" s="20"/>
      <c r="C50" s="23">
        <f>PV(Assumptions!B46,Assumptions!B8,-C39,,0)</f>
        <v>0</v>
      </c>
      <c r="D50" s="25"/>
      <c r="E50" s="25"/>
      <c r="F50" s="25"/>
      <c r="G50" s="23">
        <f>PV(Assumptions!B46,Assumptions!B24,-G39,,0)</f>
        <v>0</v>
      </c>
      <c r="H50" s="25"/>
      <c r="I50" s="25"/>
      <c r="J50" s="25"/>
      <c r="K50" s="23">
        <f>G50-C50</f>
        <v>0</v>
      </c>
      <c r="L50" s="26"/>
      <c r="M50" s="21"/>
    </row>
    <row r="51" spans="1:13" s="3" customFormat="1" ht="15.75" customHeight="1" hidden="1" outlineLevel="1">
      <c r="A51" s="122" t="s">
        <v>68</v>
      </c>
      <c r="B51" s="123"/>
      <c r="C51" s="124">
        <f>C40*Assumptions!B8</f>
        <v>0</v>
      </c>
      <c r="D51" s="125"/>
      <c r="E51" s="125"/>
      <c r="F51" s="125"/>
      <c r="G51" s="124">
        <f>G40*Assumptions!B24</f>
        <v>0</v>
      </c>
      <c r="H51" s="125"/>
      <c r="I51" s="125"/>
      <c r="J51" s="206">
        <f>G51-C51</f>
        <v>0</v>
      </c>
      <c r="K51" s="207"/>
      <c r="L51" s="127"/>
      <c r="M51" s="126"/>
    </row>
    <row r="52" spans="1:13" ht="15.75" customHeight="1" collapsed="1">
      <c r="A52" s="24" t="s">
        <v>43</v>
      </c>
      <c r="B52" s="20"/>
      <c r="C52" s="23">
        <f>PV(Assumptions!B46,Assumptions!B8,-C41,,0)</f>
        <v>0</v>
      </c>
      <c r="D52" s="20"/>
      <c r="E52" s="20"/>
      <c r="F52" s="20"/>
      <c r="G52" s="23">
        <f>PV(Assumptions!B46,Assumptions!B24,-G41,,0)</f>
        <v>0</v>
      </c>
      <c r="H52" s="20"/>
      <c r="I52" s="20"/>
      <c r="J52" s="20"/>
      <c r="K52" s="23">
        <f>G52-C52</f>
        <v>0</v>
      </c>
      <c r="L52" s="20"/>
      <c r="M52" s="21"/>
    </row>
    <row r="53" spans="1:13" ht="15.75" customHeight="1">
      <c r="A53" s="22" t="str">
        <f>"Purchase price for "&amp;C16&amp;" unit(s)"</f>
        <v>Purchase price for 20 unit(s)</v>
      </c>
      <c r="B53" s="20"/>
      <c r="C53" s="109">
        <f>C16*C25</f>
        <v>10900</v>
      </c>
      <c r="D53" s="20"/>
      <c r="E53" s="20"/>
      <c r="F53" s="20"/>
      <c r="G53" s="23">
        <f>C16*G25</f>
        <v>10900</v>
      </c>
      <c r="H53" s="20"/>
      <c r="I53" s="20"/>
      <c r="J53" s="20"/>
      <c r="K53" s="23">
        <f>G53-C53</f>
        <v>0</v>
      </c>
      <c r="L53" s="20"/>
      <c r="M53" s="21"/>
    </row>
    <row r="54" spans="1:13" s="29" customFormat="1" ht="15.75" customHeight="1">
      <c r="A54" s="89" t="s">
        <v>7</v>
      </c>
      <c r="B54" s="20"/>
      <c r="C54" s="110">
        <f>C45+C53</f>
        <v>16764.983356250916</v>
      </c>
      <c r="D54" s="27"/>
      <c r="E54" s="27"/>
      <c r="F54" s="27"/>
      <c r="G54" s="53">
        <f>G45+G53</f>
        <v>19241.957200721576</v>
      </c>
      <c r="H54" s="27"/>
      <c r="I54" s="27"/>
      <c r="J54" s="27"/>
      <c r="K54" s="53">
        <f>K45+K53</f>
        <v>2476.9738444706627</v>
      </c>
      <c r="L54" s="27"/>
      <c r="M54" s="28"/>
    </row>
    <row r="55" spans="1:13" s="29" customFormat="1" ht="15.75" customHeight="1">
      <c r="A55" s="52"/>
      <c r="B55" s="27"/>
      <c r="C55" s="54"/>
      <c r="D55" s="27"/>
      <c r="E55" s="27"/>
      <c r="F55" s="27"/>
      <c r="G55" s="54"/>
      <c r="H55" s="27"/>
      <c r="I55" s="27"/>
      <c r="J55" s="27"/>
      <c r="K55" s="54"/>
      <c r="L55" s="27"/>
      <c r="M55" s="28"/>
    </row>
    <row r="56" spans="1:13" ht="15.75" customHeight="1">
      <c r="A56" s="51"/>
      <c r="B56" s="20"/>
      <c r="C56" s="20"/>
      <c r="D56" s="20"/>
      <c r="E56" s="20"/>
      <c r="F56" s="20"/>
      <c r="G56" s="20"/>
      <c r="H56" s="20"/>
      <c r="I56" s="20"/>
      <c r="J56" s="30" t="s">
        <v>8</v>
      </c>
      <c r="K56" s="95">
        <f>IF(K64&lt;=0,0,IF(K42&lt;0,"N/A",IF(K42=0,"&gt;"&amp;Assumptions!B8&amp;"",IF(K64/K42&gt;Assumptions!B8,"&gt;"&amp;Assumptions!B8&amp;"",K64/K42))))</f>
        <v>0</v>
      </c>
      <c r="L56" s="20"/>
      <c r="M56" s="21"/>
    </row>
    <row r="57" spans="1:13" ht="4.5" customHeight="1">
      <c r="A57" s="31"/>
      <c r="B57" s="32"/>
      <c r="C57" s="32"/>
      <c r="D57" s="32"/>
      <c r="E57" s="32"/>
      <c r="F57" s="32"/>
      <c r="G57" s="32"/>
      <c r="H57" s="32"/>
      <c r="I57" s="32"/>
      <c r="J57" s="32"/>
      <c r="K57" s="32"/>
      <c r="L57" s="32"/>
      <c r="M57" s="33"/>
    </row>
    <row r="58" spans="1:13" ht="24" customHeight="1">
      <c r="A58" s="204" t="s">
        <v>32</v>
      </c>
      <c r="B58" s="205"/>
      <c r="C58" s="205"/>
      <c r="D58" s="205"/>
      <c r="E58" s="205"/>
      <c r="F58" s="205"/>
      <c r="G58" s="205"/>
      <c r="H58" s="205"/>
      <c r="I58" s="205"/>
      <c r="J58" s="205"/>
      <c r="K58" s="205"/>
      <c r="L58" s="205"/>
      <c r="M58" s="205"/>
    </row>
    <row r="59" spans="1:13" ht="13.5">
      <c r="A59" s="201" t="s">
        <v>33</v>
      </c>
      <c r="B59" s="201"/>
      <c r="C59" s="201"/>
      <c r="D59" s="201"/>
      <c r="E59" s="201"/>
      <c r="F59" s="201"/>
      <c r="G59" s="201"/>
      <c r="H59" s="201"/>
      <c r="I59" s="201"/>
      <c r="J59" s="201"/>
      <c r="K59" s="201"/>
      <c r="L59" s="201"/>
      <c r="M59" s="201"/>
    </row>
    <row r="60" spans="1:13" ht="14.25">
      <c r="A60" s="55"/>
      <c r="B60" s="55"/>
      <c r="C60" s="55"/>
      <c r="D60" s="55"/>
      <c r="E60" s="55"/>
      <c r="F60" s="55"/>
      <c r="G60" s="55"/>
      <c r="H60" s="55"/>
      <c r="I60" s="55"/>
      <c r="J60" s="55"/>
      <c r="K60" s="55"/>
      <c r="L60" s="55"/>
      <c r="M60" s="55"/>
    </row>
    <row r="61" ht="15" customHeight="1"/>
    <row r="62" spans="1:13" ht="15.75" customHeight="1">
      <c r="A62" s="202" t="str">
        <f>"Summary of Benefits for "&amp;C16&amp;" Dishwasher(s)"</f>
        <v>Summary of Benefits for 20 Dishwasher(s)</v>
      </c>
      <c r="B62" s="202"/>
      <c r="C62" s="202"/>
      <c r="D62" s="202"/>
      <c r="E62" s="202"/>
      <c r="F62" s="202"/>
      <c r="G62" s="202"/>
      <c r="H62" s="202"/>
      <c r="I62" s="202"/>
      <c r="J62" s="202"/>
      <c r="K62" s="202"/>
      <c r="L62" s="202"/>
      <c r="M62" s="202"/>
    </row>
    <row r="63" spans="1:13" ht="4.5" customHeight="1">
      <c r="A63" s="34" t="s">
        <v>9</v>
      </c>
      <c r="B63" s="35"/>
      <c r="C63" s="35"/>
      <c r="D63" s="35"/>
      <c r="E63" s="35"/>
      <c r="F63" s="35"/>
      <c r="G63" s="35"/>
      <c r="H63" s="35"/>
      <c r="I63" s="35"/>
      <c r="J63" s="35"/>
      <c r="K63" s="35"/>
      <c r="L63" s="35"/>
      <c r="M63" s="36"/>
    </row>
    <row r="64" spans="1:13" ht="15.75" customHeight="1">
      <c r="A64" s="37" t="s">
        <v>10</v>
      </c>
      <c r="B64" s="57"/>
      <c r="C64" s="57"/>
      <c r="D64" s="57"/>
      <c r="E64" s="57"/>
      <c r="F64" s="57"/>
      <c r="G64" s="57"/>
      <c r="H64" s="57"/>
      <c r="I64" s="57"/>
      <c r="J64" s="57"/>
      <c r="K64" s="166">
        <f>(C25-G25)*C16</f>
        <v>0</v>
      </c>
      <c r="L64" s="111"/>
      <c r="M64" s="116"/>
    </row>
    <row r="65" spans="1:13" ht="15.75" customHeight="1">
      <c r="A65" s="37" t="s">
        <v>11</v>
      </c>
      <c r="B65" s="57"/>
      <c r="C65" s="57"/>
      <c r="D65" s="57"/>
      <c r="E65" s="57"/>
      <c r="F65" s="57"/>
      <c r="G65" s="57"/>
      <c r="H65" s="57"/>
      <c r="I65" s="57"/>
      <c r="J65" s="57"/>
      <c r="K65" s="166">
        <f>K45</f>
        <v>2476.9738444706627</v>
      </c>
      <c r="L65" s="111"/>
      <c r="M65" s="116"/>
    </row>
    <row r="66" spans="1:13" ht="15.75" customHeight="1">
      <c r="A66" s="37" t="s">
        <v>12</v>
      </c>
      <c r="B66" s="57"/>
      <c r="C66" s="57"/>
      <c r="D66" s="57"/>
      <c r="E66" s="57"/>
      <c r="F66" s="57"/>
      <c r="G66" s="57"/>
      <c r="H66" s="57"/>
      <c r="I66" s="57"/>
      <c r="J66" s="57"/>
      <c r="K66" s="166">
        <f>K54</f>
        <v>2476.9738444706627</v>
      </c>
      <c r="L66" s="111"/>
      <c r="M66" s="116"/>
    </row>
    <row r="67" spans="1:13" ht="15.75" customHeight="1">
      <c r="A67" s="37" t="s">
        <v>13</v>
      </c>
      <c r="B67" s="57"/>
      <c r="C67" s="57"/>
      <c r="D67" s="57"/>
      <c r="E67" s="57"/>
      <c r="F67" s="57"/>
      <c r="G67" s="57"/>
      <c r="H67" s="57"/>
      <c r="I67" s="57"/>
      <c r="J67" s="57"/>
      <c r="K67" s="167">
        <f>K56</f>
        <v>0</v>
      </c>
      <c r="L67" s="112"/>
      <c r="M67" s="117"/>
    </row>
    <row r="68" spans="1:13" ht="15.75" customHeight="1">
      <c r="A68" s="37" t="s">
        <v>94</v>
      </c>
      <c r="B68" s="57"/>
      <c r="C68" s="57"/>
      <c r="D68" s="57"/>
      <c r="E68" s="57"/>
      <c r="F68" s="57"/>
      <c r="G68" s="57"/>
      <c r="H68" s="57"/>
      <c r="I68" s="57"/>
      <c r="J68" s="57"/>
      <c r="K68" s="168">
        <f>K47</f>
        <v>30056.856187290978</v>
      </c>
      <c r="L68" s="113"/>
      <c r="M68" s="118"/>
    </row>
    <row r="69" spans="1:13" ht="15.75" customHeight="1">
      <c r="A69" s="37" t="s">
        <v>14</v>
      </c>
      <c r="B69" s="57"/>
      <c r="C69" s="57"/>
      <c r="D69" s="57"/>
      <c r="E69" s="57"/>
      <c r="F69" s="57"/>
      <c r="G69" s="57"/>
      <c r="H69" s="57"/>
      <c r="I69" s="57"/>
      <c r="J69" s="57"/>
      <c r="K69" s="168">
        <f>K47*Assumptions!B56</f>
        <v>46137.274247491645</v>
      </c>
      <c r="L69" s="113"/>
      <c r="M69" s="118"/>
    </row>
    <row r="70" spans="1:13" ht="15.75" customHeight="1">
      <c r="A70" s="37" t="s">
        <v>15</v>
      </c>
      <c r="B70" s="57"/>
      <c r="C70" s="57"/>
      <c r="D70" s="57"/>
      <c r="E70" s="57"/>
      <c r="F70" s="57"/>
      <c r="G70" s="57"/>
      <c r="H70" s="57"/>
      <c r="I70" s="57"/>
      <c r="J70" s="57"/>
      <c r="K70" s="168">
        <f>K47*Assumptions!B56/Assumptions!B60</f>
        <v>4.0224301872268216</v>
      </c>
      <c r="L70" s="114"/>
      <c r="M70" s="119"/>
    </row>
    <row r="71" spans="1:13" ht="15.75" customHeight="1">
      <c r="A71" s="37" t="s">
        <v>16</v>
      </c>
      <c r="B71" s="57"/>
      <c r="C71" s="57"/>
      <c r="D71" s="57"/>
      <c r="E71" s="57"/>
      <c r="F71" s="57"/>
      <c r="G71" s="57"/>
      <c r="H71" s="57"/>
      <c r="I71" s="57"/>
      <c r="J71" s="57"/>
      <c r="K71" s="168">
        <f>K47*Assumptions!B56/Assumptions!B59</f>
        <v>5.719969532295021</v>
      </c>
      <c r="L71" s="114"/>
      <c r="M71" s="119"/>
    </row>
    <row r="72" spans="1:13" ht="15.75" customHeight="1">
      <c r="A72" s="93" t="s">
        <v>17</v>
      </c>
      <c r="B72" s="57"/>
      <c r="C72" s="57"/>
      <c r="D72" s="57"/>
      <c r="E72" s="57"/>
      <c r="F72" s="57"/>
      <c r="G72" s="57"/>
      <c r="H72" s="57"/>
      <c r="I72" s="57"/>
      <c r="J72" s="57"/>
      <c r="K72" s="169">
        <f>K54/(C25*C16)</f>
        <v>0.2272453068321709</v>
      </c>
      <c r="L72" s="115"/>
      <c r="M72" s="120"/>
    </row>
    <row r="73" spans="1:13" s="40" customFormat="1" ht="4.5" customHeight="1">
      <c r="A73" s="94"/>
      <c r="B73" s="38"/>
      <c r="C73" s="38"/>
      <c r="D73" s="38"/>
      <c r="E73" s="38"/>
      <c r="F73" s="38"/>
      <c r="G73" s="38"/>
      <c r="H73" s="38"/>
      <c r="I73" s="38"/>
      <c r="J73" s="38"/>
      <c r="K73" s="38"/>
      <c r="L73" s="38"/>
      <c r="M73" s="39"/>
    </row>
    <row r="74" s="40" customFormat="1" ht="15.75" customHeight="1">
      <c r="A74" s="56"/>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sheetData>
  <sheetProtection/>
  <mergeCells count="16">
    <mergeCell ref="B23:D23"/>
    <mergeCell ref="F23:H23"/>
    <mergeCell ref="J23:L23"/>
    <mergeCell ref="A32:M32"/>
    <mergeCell ref="A7:M7"/>
    <mergeCell ref="A8:M8"/>
    <mergeCell ref="A11:M11"/>
    <mergeCell ref="A14:M14"/>
    <mergeCell ref="A59:M59"/>
    <mergeCell ref="A62:M62"/>
    <mergeCell ref="B33:D33"/>
    <mergeCell ref="F33:H33"/>
    <mergeCell ref="J33:L33"/>
    <mergeCell ref="A58:M58"/>
    <mergeCell ref="J49:K49"/>
    <mergeCell ref="J51:K51"/>
  </mergeCells>
  <conditionalFormatting sqref="C26">
    <cfRule type="cellIs" priority="1" dxfId="0" operator="greaterThanOrEqual" stopIfTrue="1">
      <formula>0.65</formula>
    </cfRule>
  </conditionalFormatting>
  <dataValidations count="6">
    <dataValidation type="decimal" operator="greaterThan" showInputMessage="1" showErrorMessage="1" error="Please Enter a Positive Value.&#10;&#10;Thank you." sqref="C16 G28 G27 G25 C27 C20 C25 C28">
      <formula1>0</formula1>
    </dataValidation>
    <dataValidation type="decimal" showInputMessage="1" showErrorMessage="1" error="Please enter a value between $.02 and $.45.&#10;&#10;Thank you." sqref="C17">
      <formula1>0.02</formula1>
      <formula2>0.45</formula2>
    </dataValidation>
    <dataValidation type="decimal" showInputMessage="1" showErrorMessage="1" error="Please enter a value between $2 and $8.&#10;&#10;Thank you." sqref="C18">
      <formula1>2</formula1>
      <formula2>11</formula2>
    </dataValidation>
    <dataValidation type="decimal" showInputMessage="1" showErrorMessage="1" error="Please enter a value between $.30 and $3.00.&#10;&#10;Thank you." sqref="C19">
      <formula1>0.3</formula1>
      <formula2>3</formula2>
    </dataValidation>
    <dataValidation type="decimal" operator="greaterThan" showInputMessage="1" showErrorMessage="1" error="Please Enter a Value greater than or equal to default EF value of 0.65.&#10;&#10;Thank you." sqref="C26">
      <formula1>0.65</formula1>
    </dataValidation>
    <dataValidation type="decimal" operator="greaterThan" showInputMessage="1" showErrorMessage="1" error="Please Enter a Value greater than default EF of 0.46&#10;&#10;Thank you." sqref="G26">
      <formula1>0.46</formula1>
    </dataValidation>
  </dataValidations>
  <printOptions horizontalCentered="1"/>
  <pageMargins left="1" right="1" top="0.5" bottom="0.5" header="0.25" footer="0.25"/>
  <pageSetup fitToHeight="1" fitToWidth="1"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IV66"/>
  <sheetViews>
    <sheetView zoomScale="85" zoomScaleNormal="85" zoomScalePageLayoutView="0" workbookViewId="0" topLeftCell="A1">
      <selection activeCell="F52" sqref="F52"/>
    </sheetView>
  </sheetViews>
  <sheetFormatPr defaultColWidth="9.140625" defaultRowHeight="12.75"/>
  <cols>
    <col min="1" max="1" width="45.7109375" style="61" bestFit="1" customWidth="1"/>
    <col min="2" max="2" width="10.140625" style="83" bestFit="1" customWidth="1"/>
    <col min="3" max="3" width="11.8515625" style="84" bestFit="1" customWidth="1"/>
    <col min="4" max="4" width="38.57421875" style="80" customWidth="1"/>
    <col min="5" max="5" width="7.421875" style="61" customWidth="1"/>
    <col min="6" max="6" width="19.7109375" style="61" customWidth="1"/>
    <col min="7" max="7" width="8.140625" style="61" customWidth="1"/>
    <col min="8" max="8" width="12.7109375" style="61" bestFit="1" customWidth="1"/>
    <col min="9" max="9" width="14.00390625" style="61" bestFit="1" customWidth="1"/>
    <col min="10" max="10" width="6.7109375" style="61" bestFit="1" customWidth="1"/>
    <col min="11" max="20" width="9.140625" style="61" customWidth="1"/>
    <col min="21" max="16384" width="9.140625" style="62" customWidth="1"/>
  </cols>
  <sheetData>
    <row r="1" spans="1:14" ht="15.75">
      <c r="A1" s="215" t="s">
        <v>83</v>
      </c>
      <c r="B1" s="216"/>
      <c r="C1" s="216"/>
      <c r="D1" s="217"/>
      <c r="E1" s="159"/>
      <c r="F1" s="179"/>
      <c r="G1" s="179"/>
      <c r="H1" s="179"/>
      <c r="I1" s="173"/>
      <c r="J1" s="173"/>
      <c r="K1" s="173"/>
      <c r="L1" s="173"/>
      <c r="M1" s="173"/>
      <c r="N1" s="173"/>
    </row>
    <row r="2" spans="1:14" ht="15.75">
      <c r="A2" s="101"/>
      <c r="B2" s="63"/>
      <c r="C2" s="63"/>
      <c r="D2" s="102"/>
      <c r="E2" s="159"/>
      <c r="F2" s="159"/>
      <c r="G2" s="159"/>
      <c r="H2" s="159"/>
      <c r="I2" s="157"/>
      <c r="J2" s="157"/>
      <c r="K2" s="173"/>
      <c r="L2" s="173"/>
      <c r="M2" s="173"/>
      <c r="N2" s="173"/>
    </row>
    <row r="3" spans="1:14" ht="15">
      <c r="A3" s="85" t="s">
        <v>18</v>
      </c>
      <c r="B3" s="218" t="s">
        <v>19</v>
      </c>
      <c r="C3" s="218"/>
      <c r="D3" s="103" t="s">
        <v>20</v>
      </c>
      <c r="E3" s="157"/>
      <c r="F3" s="187"/>
      <c r="G3" s="187"/>
      <c r="H3" s="187"/>
      <c r="I3" s="187"/>
      <c r="J3" s="187"/>
      <c r="K3" s="187"/>
      <c r="L3" s="173"/>
      <c r="M3" s="173"/>
      <c r="N3" s="173"/>
    </row>
    <row r="4" spans="1:14" ht="15">
      <c r="A4" s="142" t="s">
        <v>59</v>
      </c>
      <c r="B4" s="64"/>
      <c r="C4" s="65"/>
      <c r="D4" s="66"/>
      <c r="E4" s="157"/>
      <c r="F4" s="212" t="s">
        <v>67</v>
      </c>
      <c r="G4" s="214" t="s">
        <v>53</v>
      </c>
      <c r="H4" s="213" t="s">
        <v>54</v>
      </c>
      <c r="I4" s="213"/>
      <c r="J4" s="187"/>
      <c r="K4" s="187"/>
      <c r="L4" s="173"/>
      <c r="M4" s="173"/>
      <c r="N4" s="173"/>
    </row>
    <row r="5" spans="1:14" ht="12.75">
      <c r="A5" s="136" t="s">
        <v>3</v>
      </c>
      <c r="B5" s="67"/>
      <c r="C5" s="59"/>
      <c r="D5" s="60"/>
      <c r="E5" s="157"/>
      <c r="F5" s="212"/>
      <c r="G5" s="214"/>
      <c r="H5" s="188" t="s">
        <v>64</v>
      </c>
      <c r="I5" s="188"/>
      <c r="J5" s="187"/>
      <c r="K5" s="187"/>
      <c r="L5" s="173"/>
      <c r="M5" s="173"/>
      <c r="N5" s="173"/>
    </row>
    <row r="6" spans="1:14" ht="12.75">
      <c r="A6" s="137" t="s">
        <v>52</v>
      </c>
      <c r="B6" s="72">
        <v>545</v>
      </c>
      <c r="C6" s="59"/>
      <c r="D6" s="60" t="s">
        <v>116</v>
      </c>
      <c r="E6" s="157">
        <v>1</v>
      </c>
      <c r="F6" s="187" t="s">
        <v>57</v>
      </c>
      <c r="G6" s="189">
        <f>B13</f>
        <v>330.7692307692308</v>
      </c>
      <c r="H6" s="189">
        <f>B29</f>
        <v>467.39130434782606</v>
      </c>
      <c r="I6" s="189"/>
      <c r="J6" s="187"/>
      <c r="K6" s="187"/>
      <c r="L6" s="173"/>
      <c r="M6" s="173"/>
      <c r="N6" s="173"/>
    </row>
    <row r="7" spans="1:14" ht="12.75">
      <c r="A7" s="137" t="s">
        <v>71</v>
      </c>
      <c r="B7" s="100">
        <v>0.65</v>
      </c>
      <c r="C7" s="59"/>
      <c r="D7" s="60" t="s">
        <v>97</v>
      </c>
      <c r="E7" s="157"/>
      <c r="F7" s="187" t="s">
        <v>58</v>
      </c>
      <c r="G7" s="189">
        <f>B17</f>
        <v>187.08473076923076</v>
      </c>
      <c r="H7" s="189">
        <f>B33</f>
        <v>264.1303043478261</v>
      </c>
      <c r="I7" s="189"/>
      <c r="J7" s="187"/>
      <c r="K7" s="187"/>
      <c r="L7" s="173"/>
      <c r="M7" s="173"/>
      <c r="N7" s="173"/>
    </row>
    <row r="8" spans="1:14" ht="12.75">
      <c r="A8" s="138" t="s">
        <v>34</v>
      </c>
      <c r="B8" s="67">
        <v>11</v>
      </c>
      <c r="C8" s="59" t="s">
        <v>21</v>
      </c>
      <c r="D8" s="60" t="s">
        <v>97</v>
      </c>
      <c r="E8" s="157"/>
      <c r="F8" s="187"/>
      <c r="G8" s="190"/>
      <c r="H8" s="187"/>
      <c r="I8" s="187"/>
      <c r="J8" s="187"/>
      <c r="K8" s="187"/>
      <c r="L8" s="173"/>
      <c r="M8" s="173"/>
      <c r="N8" s="173"/>
    </row>
    <row r="9" spans="1:14" ht="12.75">
      <c r="A9" s="153" t="s">
        <v>79</v>
      </c>
      <c r="B9" s="83">
        <v>4</v>
      </c>
      <c r="C9" s="59" t="s">
        <v>113</v>
      </c>
      <c r="D9" s="60" t="s">
        <v>97</v>
      </c>
      <c r="E9" s="157"/>
      <c r="F9" s="212" t="s">
        <v>55</v>
      </c>
      <c r="G9" s="214" t="s">
        <v>53</v>
      </c>
      <c r="H9" s="213" t="s">
        <v>54</v>
      </c>
      <c r="I9" s="213"/>
      <c r="J9" s="187"/>
      <c r="K9" s="187"/>
      <c r="L9" s="173"/>
      <c r="M9" s="173"/>
      <c r="N9" s="173"/>
    </row>
    <row r="10" spans="1:14" ht="12.75">
      <c r="A10" s="138" t="s">
        <v>72</v>
      </c>
      <c r="B10" s="148">
        <f>B9*B42</f>
        <v>860</v>
      </c>
      <c r="C10" s="59" t="s">
        <v>114</v>
      </c>
      <c r="D10" s="60" t="s">
        <v>35</v>
      </c>
      <c r="E10" s="157"/>
      <c r="F10" s="212"/>
      <c r="G10" s="214"/>
      <c r="H10" s="188" t="s">
        <v>64</v>
      </c>
      <c r="I10" s="188"/>
      <c r="J10" s="187"/>
      <c r="K10" s="187"/>
      <c r="L10" s="173"/>
      <c r="M10" s="173"/>
      <c r="N10" s="173"/>
    </row>
    <row r="11" spans="1:14" ht="12.75">
      <c r="A11" s="140" t="s">
        <v>57</v>
      </c>
      <c r="B11" s="67"/>
      <c r="C11" s="59"/>
      <c r="D11" s="60"/>
      <c r="E11" s="157"/>
      <c r="F11" s="187" t="s">
        <v>57</v>
      </c>
      <c r="G11" s="191">
        <f>B10</f>
        <v>860</v>
      </c>
      <c r="H11" s="189">
        <f>B26</f>
        <v>1290</v>
      </c>
      <c r="I11" s="189"/>
      <c r="J11" s="187"/>
      <c r="K11" s="187"/>
      <c r="L11" s="173"/>
      <c r="M11" s="173"/>
      <c r="N11" s="173"/>
    </row>
    <row r="12" spans="1:14" ht="12.75">
      <c r="A12" s="141" t="s">
        <v>75</v>
      </c>
      <c r="B12" s="170">
        <f>1/'Dishwasher Calculator'!C26</f>
        <v>1.5384615384615383</v>
      </c>
      <c r="C12" s="68" t="s">
        <v>76</v>
      </c>
      <c r="D12" s="60" t="s">
        <v>98</v>
      </c>
      <c r="E12" s="157"/>
      <c r="F12" s="187" t="s">
        <v>58</v>
      </c>
      <c r="G12" s="191">
        <f>B10</f>
        <v>860</v>
      </c>
      <c r="H12" s="189">
        <f>B26</f>
        <v>1290</v>
      </c>
      <c r="I12" s="189"/>
      <c r="J12" s="187"/>
      <c r="K12" s="187"/>
      <c r="L12" s="173"/>
      <c r="M12" s="173"/>
      <c r="N12" s="173"/>
    </row>
    <row r="13" spans="1:14" ht="12.75">
      <c r="A13" s="141" t="s">
        <v>110</v>
      </c>
      <c r="B13" s="148">
        <f>B42/'Dishwasher Calculator'!C26</f>
        <v>330.7692307692308</v>
      </c>
      <c r="C13" s="68" t="s">
        <v>107</v>
      </c>
      <c r="D13" s="60" t="s">
        <v>35</v>
      </c>
      <c r="E13" s="178"/>
      <c r="F13" s="187"/>
      <c r="G13" s="190"/>
      <c r="H13" s="187"/>
      <c r="I13" s="187"/>
      <c r="J13" s="187"/>
      <c r="K13" s="187"/>
      <c r="L13" s="173"/>
      <c r="M13" s="173"/>
      <c r="N13" s="173"/>
    </row>
    <row r="14" spans="1:14" ht="12.75">
      <c r="A14" s="140" t="s">
        <v>58</v>
      </c>
      <c r="B14" s="67"/>
      <c r="C14" s="59"/>
      <c r="D14" s="60"/>
      <c r="E14" s="178"/>
      <c r="F14" s="212" t="s">
        <v>56</v>
      </c>
      <c r="G14" s="214" t="s">
        <v>53</v>
      </c>
      <c r="H14" s="213" t="s">
        <v>54</v>
      </c>
      <c r="I14" s="213"/>
      <c r="J14" s="187"/>
      <c r="K14" s="187"/>
      <c r="L14" s="173"/>
      <c r="M14" s="173"/>
      <c r="N14" s="173"/>
    </row>
    <row r="15" spans="1:14" ht="12.75">
      <c r="A15" s="138" t="s">
        <v>115</v>
      </c>
      <c r="B15" s="67">
        <f>(('Dishwasher Calculator'!C26)-0.65)/0.65</f>
        <v>0</v>
      </c>
      <c r="C15" s="59"/>
      <c r="D15" s="60" t="s">
        <v>35</v>
      </c>
      <c r="E15" s="185"/>
      <c r="F15" s="212"/>
      <c r="G15" s="214"/>
      <c r="H15" s="192"/>
      <c r="I15" s="192"/>
      <c r="J15" s="187"/>
      <c r="K15" s="187"/>
      <c r="L15" s="173"/>
      <c r="M15" s="173"/>
      <c r="N15" s="173"/>
    </row>
    <row r="16" spans="1:14" ht="12.75">
      <c r="A16" s="141" t="s">
        <v>75</v>
      </c>
      <c r="B16" s="154">
        <f>(((1/'Dishwasher Calculator'!C26))-(0.41*(1-B15))*1.63)</f>
        <v>0.8701615384615384</v>
      </c>
      <c r="C16" s="68" t="s">
        <v>111</v>
      </c>
      <c r="D16" s="60" t="s">
        <v>98</v>
      </c>
      <c r="E16" s="157"/>
      <c r="F16" s="212"/>
      <c r="G16" s="214"/>
      <c r="H16" s="188" t="s">
        <v>64</v>
      </c>
      <c r="I16" s="188"/>
      <c r="J16" s="187"/>
      <c r="K16" s="187"/>
      <c r="L16" s="173"/>
      <c r="M16" s="173"/>
      <c r="N16" s="173"/>
    </row>
    <row r="17" spans="1:14" ht="12.75">
      <c r="A17" s="141" t="s">
        <v>60</v>
      </c>
      <c r="B17" s="148">
        <f>B16*B42</f>
        <v>187.08473076923076</v>
      </c>
      <c r="C17" s="68" t="s">
        <v>107</v>
      </c>
      <c r="D17" s="60" t="s">
        <v>35</v>
      </c>
      <c r="E17" s="157"/>
      <c r="F17" s="187" t="s">
        <v>57</v>
      </c>
      <c r="G17" s="189">
        <v>0</v>
      </c>
      <c r="H17" s="189">
        <v>0</v>
      </c>
      <c r="I17" s="189"/>
      <c r="J17" s="187"/>
      <c r="K17" s="187"/>
      <c r="L17" s="173"/>
      <c r="M17" s="173"/>
      <c r="N17" s="173"/>
    </row>
    <row r="18" spans="1:256" ht="12.75">
      <c r="A18" s="141" t="s">
        <v>77</v>
      </c>
      <c r="B18" s="171">
        <f>B19/B42</f>
        <v>0.02968991169230769</v>
      </c>
      <c r="C18" s="68" t="s">
        <v>112</v>
      </c>
      <c r="D18" s="60" t="s">
        <v>35</v>
      </c>
      <c r="E18" s="157"/>
      <c r="F18" s="187" t="s">
        <v>58</v>
      </c>
      <c r="G18" s="189">
        <f>B19</f>
        <v>6.383331013846154</v>
      </c>
      <c r="H18" s="189">
        <f>B35</f>
        <v>19.1</v>
      </c>
      <c r="I18" s="189"/>
      <c r="J18" s="193"/>
      <c r="K18" s="187"/>
      <c r="L18" s="172"/>
      <c r="M18" s="181"/>
      <c r="N18" s="174"/>
      <c r="O18" s="79"/>
      <c r="P18" s="132"/>
      <c r="Q18" s="78"/>
      <c r="R18" s="99"/>
      <c r="S18" s="79"/>
      <c r="T18" s="132"/>
      <c r="U18" s="78"/>
      <c r="V18" s="99"/>
      <c r="W18" s="79"/>
      <c r="X18" s="132"/>
      <c r="Y18" s="78"/>
      <c r="Z18" s="99"/>
      <c r="AA18" s="79"/>
      <c r="AB18" s="132"/>
      <c r="AC18" s="78"/>
      <c r="AD18" s="99"/>
      <c r="AE18" s="79"/>
      <c r="AF18" s="132"/>
      <c r="AG18" s="78"/>
      <c r="AH18" s="99"/>
      <c r="AI18" s="79"/>
      <c r="AJ18" s="132"/>
      <c r="AK18" s="78"/>
      <c r="AL18" s="99"/>
      <c r="AM18" s="79"/>
      <c r="AN18" s="132"/>
      <c r="AO18" s="78"/>
      <c r="AP18" s="99"/>
      <c r="AQ18" s="79"/>
      <c r="AR18" s="132"/>
      <c r="AS18" s="78"/>
      <c r="AT18" s="99"/>
      <c r="AU18" s="79"/>
      <c r="AV18" s="132"/>
      <c r="AW18" s="78"/>
      <c r="AX18" s="99"/>
      <c r="AY18" s="79"/>
      <c r="AZ18" s="132"/>
      <c r="BA18" s="78"/>
      <c r="BB18" s="99"/>
      <c r="BC18" s="79"/>
      <c r="BD18" s="132"/>
      <c r="BE18" s="78"/>
      <c r="BF18" s="99"/>
      <c r="BG18" s="79"/>
      <c r="BH18" s="132"/>
      <c r="BI18" s="78"/>
      <c r="BJ18" s="99"/>
      <c r="BK18" s="79"/>
      <c r="BL18" s="132"/>
      <c r="BM18" s="78"/>
      <c r="BN18" s="99"/>
      <c r="BO18" s="79"/>
      <c r="BP18" s="132"/>
      <c r="BQ18" s="78"/>
      <c r="BR18" s="99"/>
      <c r="BS18" s="79"/>
      <c r="BT18" s="132"/>
      <c r="BU18" s="78"/>
      <c r="BV18" s="99"/>
      <c r="BW18" s="79"/>
      <c r="BX18" s="132"/>
      <c r="BY18" s="78"/>
      <c r="BZ18" s="99"/>
      <c r="CA18" s="79"/>
      <c r="CB18" s="132"/>
      <c r="CC18" s="78"/>
      <c r="CD18" s="99"/>
      <c r="CE18" s="79"/>
      <c r="CF18" s="132"/>
      <c r="CG18" s="78"/>
      <c r="CH18" s="99"/>
      <c r="CI18" s="79"/>
      <c r="CJ18" s="132"/>
      <c r="CK18" s="78"/>
      <c r="CL18" s="99"/>
      <c r="CM18" s="79"/>
      <c r="CN18" s="132"/>
      <c r="CO18" s="78"/>
      <c r="CP18" s="99"/>
      <c r="CQ18" s="79"/>
      <c r="CR18" s="132"/>
      <c r="CS18" s="78"/>
      <c r="CT18" s="99"/>
      <c r="CU18" s="79"/>
      <c r="CV18" s="132"/>
      <c r="CW18" s="78"/>
      <c r="CX18" s="99"/>
      <c r="CY18" s="79"/>
      <c r="CZ18" s="132"/>
      <c r="DA18" s="78"/>
      <c r="DB18" s="99"/>
      <c r="DC18" s="79"/>
      <c r="DD18" s="132"/>
      <c r="DE18" s="78"/>
      <c r="DF18" s="99"/>
      <c r="DG18" s="79"/>
      <c r="DH18" s="132"/>
      <c r="DI18" s="78"/>
      <c r="DJ18" s="99"/>
      <c r="DK18" s="79"/>
      <c r="DL18" s="132"/>
      <c r="DM18" s="78"/>
      <c r="DN18" s="99"/>
      <c r="DO18" s="79"/>
      <c r="DP18" s="132"/>
      <c r="DQ18" s="78"/>
      <c r="DR18" s="99"/>
      <c r="DS18" s="79"/>
      <c r="DT18" s="132"/>
      <c r="DU18" s="78"/>
      <c r="DV18" s="99"/>
      <c r="DW18" s="79"/>
      <c r="DX18" s="132"/>
      <c r="DY18" s="78"/>
      <c r="DZ18" s="99"/>
      <c r="EA18" s="79"/>
      <c r="EB18" s="132"/>
      <c r="EC18" s="78"/>
      <c r="ED18" s="99"/>
      <c r="EE18" s="79"/>
      <c r="EF18" s="132"/>
      <c r="EG18" s="78"/>
      <c r="EH18" s="99"/>
      <c r="EI18" s="79"/>
      <c r="EJ18" s="132"/>
      <c r="EK18" s="78"/>
      <c r="EL18" s="99"/>
      <c r="EM18" s="79"/>
      <c r="EN18" s="132"/>
      <c r="EO18" s="78"/>
      <c r="EP18" s="99"/>
      <c r="EQ18" s="79"/>
      <c r="ER18" s="132"/>
      <c r="ES18" s="78"/>
      <c r="ET18" s="99"/>
      <c r="EU18" s="79"/>
      <c r="EV18" s="132"/>
      <c r="EW18" s="78"/>
      <c r="EX18" s="99"/>
      <c r="EY18" s="79"/>
      <c r="EZ18" s="132"/>
      <c r="FA18" s="78"/>
      <c r="FB18" s="99"/>
      <c r="FC18" s="79"/>
      <c r="FD18" s="132"/>
      <c r="FE18" s="78"/>
      <c r="FF18" s="99"/>
      <c r="FG18" s="79"/>
      <c r="FH18" s="132"/>
      <c r="FI18" s="78"/>
      <c r="FJ18" s="99"/>
      <c r="FK18" s="79"/>
      <c r="FL18" s="132"/>
      <c r="FM18" s="78"/>
      <c r="FN18" s="99"/>
      <c r="FO18" s="79"/>
      <c r="FP18" s="132"/>
      <c r="FQ18" s="78"/>
      <c r="FR18" s="99"/>
      <c r="FS18" s="79"/>
      <c r="FT18" s="132"/>
      <c r="FU18" s="78"/>
      <c r="FV18" s="99"/>
      <c r="FW18" s="79"/>
      <c r="FX18" s="132"/>
      <c r="FY18" s="78"/>
      <c r="FZ18" s="99"/>
      <c r="GA18" s="79"/>
      <c r="GB18" s="132"/>
      <c r="GC18" s="78"/>
      <c r="GD18" s="99"/>
      <c r="GE18" s="79"/>
      <c r="GF18" s="132"/>
      <c r="GG18" s="78"/>
      <c r="GH18" s="99"/>
      <c r="GI18" s="79"/>
      <c r="GJ18" s="132"/>
      <c r="GK18" s="78"/>
      <c r="GL18" s="99"/>
      <c r="GM18" s="79"/>
      <c r="GN18" s="132"/>
      <c r="GO18" s="78"/>
      <c r="GP18" s="99"/>
      <c r="GQ18" s="79"/>
      <c r="GR18" s="132"/>
      <c r="GS18" s="78"/>
      <c r="GT18" s="99"/>
      <c r="GU18" s="79"/>
      <c r="GV18" s="132"/>
      <c r="GW18" s="78"/>
      <c r="GX18" s="99"/>
      <c r="GY18" s="79"/>
      <c r="GZ18" s="132"/>
      <c r="HA18" s="78"/>
      <c r="HB18" s="99"/>
      <c r="HC18" s="79"/>
      <c r="HD18" s="132"/>
      <c r="HE18" s="78"/>
      <c r="HF18" s="99"/>
      <c r="HG18" s="79"/>
      <c r="HH18" s="132"/>
      <c r="HI18" s="78"/>
      <c r="HJ18" s="99"/>
      <c r="HK18" s="79"/>
      <c r="HL18" s="132"/>
      <c r="HM18" s="78"/>
      <c r="HN18" s="99"/>
      <c r="HO18" s="79"/>
      <c r="HP18" s="132"/>
      <c r="HQ18" s="78"/>
      <c r="HR18" s="99"/>
      <c r="HS18" s="79"/>
      <c r="HT18" s="132"/>
      <c r="HU18" s="78"/>
      <c r="HV18" s="99"/>
      <c r="HW18" s="79"/>
      <c r="HX18" s="132"/>
      <c r="HY18" s="78"/>
      <c r="HZ18" s="99"/>
      <c r="IA18" s="79"/>
      <c r="IB18" s="132"/>
      <c r="IC18" s="78"/>
      <c r="ID18" s="99"/>
      <c r="IE18" s="79"/>
      <c r="IF18" s="132"/>
      <c r="IG18" s="78"/>
      <c r="IH18" s="99"/>
      <c r="II18" s="79"/>
      <c r="IJ18" s="132"/>
      <c r="IK18" s="78"/>
      <c r="IL18" s="99"/>
      <c r="IM18" s="79"/>
      <c r="IN18" s="132"/>
      <c r="IO18" s="78"/>
      <c r="IP18" s="99"/>
      <c r="IQ18" s="79"/>
      <c r="IR18" s="132"/>
      <c r="IS18" s="78"/>
      <c r="IT18" s="99"/>
      <c r="IU18" s="79"/>
      <c r="IV18" s="61"/>
    </row>
    <row r="19" spans="1:256" ht="12.75">
      <c r="A19" s="141" t="s">
        <v>62</v>
      </c>
      <c r="B19" s="148">
        <f>B16*0.03412*B42</f>
        <v>6.383331013846154</v>
      </c>
      <c r="C19" s="68" t="s">
        <v>63</v>
      </c>
      <c r="D19" s="60" t="s">
        <v>98</v>
      </c>
      <c r="E19" s="157"/>
      <c r="F19" s="187"/>
      <c r="G19" s="190"/>
      <c r="H19" s="187"/>
      <c r="I19" s="187"/>
      <c r="J19" s="193"/>
      <c r="K19" s="187"/>
      <c r="L19" s="175"/>
      <c r="M19" s="177"/>
      <c r="N19" s="174"/>
      <c r="O19" s="79"/>
      <c r="P19" s="133"/>
      <c r="Q19" s="134"/>
      <c r="R19" s="99"/>
      <c r="S19" s="79"/>
      <c r="T19" s="133"/>
      <c r="U19" s="134"/>
      <c r="V19" s="99"/>
      <c r="W19" s="79"/>
      <c r="X19" s="133"/>
      <c r="Y19" s="134"/>
      <c r="Z19" s="99"/>
      <c r="AA19" s="79"/>
      <c r="AB19" s="133"/>
      <c r="AC19" s="134"/>
      <c r="AD19" s="99"/>
      <c r="AE19" s="79"/>
      <c r="AF19" s="133"/>
      <c r="AG19" s="134"/>
      <c r="AH19" s="99"/>
      <c r="AI19" s="79"/>
      <c r="AJ19" s="133"/>
      <c r="AK19" s="134"/>
      <c r="AL19" s="99"/>
      <c r="AM19" s="79"/>
      <c r="AN19" s="133"/>
      <c r="AO19" s="134"/>
      <c r="AP19" s="99"/>
      <c r="AQ19" s="79"/>
      <c r="AR19" s="133"/>
      <c r="AS19" s="134"/>
      <c r="AT19" s="99"/>
      <c r="AU19" s="79"/>
      <c r="AV19" s="133"/>
      <c r="AW19" s="134"/>
      <c r="AX19" s="99"/>
      <c r="AY19" s="79"/>
      <c r="AZ19" s="133"/>
      <c r="BA19" s="134"/>
      <c r="BB19" s="99"/>
      <c r="BC19" s="79"/>
      <c r="BD19" s="133"/>
      <c r="BE19" s="134"/>
      <c r="BF19" s="99"/>
      <c r="BG19" s="79"/>
      <c r="BH19" s="133"/>
      <c r="BI19" s="134"/>
      <c r="BJ19" s="99"/>
      <c r="BK19" s="79"/>
      <c r="BL19" s="133"/>
      <c r="BM19" s="134"/>
      <c r="BN19" s="99"/>
      <c r="BO19" s="79"/>
      <c r="BP19" s="133"/>
      <c r="BQ19" s="134"/>
      <c r="BR19" s="99"/>
      <c r="BS19" s="79"/>
      <c r="BT19" s="133"/>
      <c r="BU19" s="134"/>
      <c r="BV19" s="99"/>
      <c r="BW19" s="79"/>
      <c r="BX19" s="133"/>
      <c r="BY19" s="134"/>
      <c r="BZ19" s="99"/>
      <c r="CA19" s="79"/>
      <c r="CB19" s="133"/>
      <c r="CC19" s="134"/>
      <c r="CD19" s="99"/>
      <c r="CE19" s="79"/>
      <c r="CF19" s="133"/>
      <c r="CG19" s="134"/>
      <c r="CH19" s="99"/>
      <c r="CI19" s="79"/>
      <c r="CJ19" s="133"/>
      <c r="CK19" s="134"/>
      <c r="CL19" s="99"/>
      <c r="CM19" s="79"/>
      <c r="CN19" s="133"/>
      <c r="CO19" s="134"/>
      <c r="CP19" s="99"/>
      <c r="CQ19" s="79"/>
      <c r="CR19" s="133"/>
      <c r="CS19" s="134"/>
      <c r="CT19" s="99"/>
      <c r="CU19" s="79"/>
      <c r="CV19" s="133"/>
      <c r="CW19" s="134"/>
      <c r="CX19" s="99"/>
      <c r="CY19" s="79"/>
      <c r="CZ19" s="133"/>
      <c r="DA19" s="134"/>
      <c r="DB19" s="99"/>
      <c r="DC19" s="79"/>
      <c r="DD19" s="133"/>
      <c r="DE19" s="134"/>
      <c r="DF19" s="99"/>
      <c r="DG19" s="79"/>
      <c r="DH19" s="133"/>
      <c r="DI19" s="134"/>
      <c r="DJ19" s="99"/>
      <c r="DK19" s="79"/>
      <c r="DL19" s="133"/>
      <c r="DM19" s="134"/>
      <c r="DN19" s="99"/>
      <c r="DO19" s="79"/>
      <c r="DP19" s="133"/>
      <c r="DQ19" s="134"/>
      <c r="DR19" s="99"/>
      <c r="DS19" s="79"/>
      <c r="DT19" s="133"/>
      <c r="DU19" s="134"/>
      <c r="DV19" s="99"/>
      <c r="DW19" s="79"/>
      <c r="DX19" s="133"/>
      <c r="DY19" s="134"/>
      <c r="DZ19" s="99"/>
      <c r="EA19" s="79"/>
      <c r="EB19" s="133"/>
      <c r="EC19" s="134"/>
      <c r="ED19" s="99"/>
      <c r="EE19" s="79"/>
      <c r="EF19" s="133"/>
      <c r="EG19" s="134"/>
      <c r="EH19" s="99"/>
      <c r="EI19" s="79"/>
      <c r="EJ19" s="133"/>
      <c r="EK19" s="134"/>
      <c r="EL19" s="99"/>
      <c r="EM19" s="79"/>
      <c r="EN19" s="133"/>
      <c r="EO19" s="134"/>
      <c r="EP19" s="99"/>
      <c r="EQ19" s="79"/>
      <c r="ER19" s="133"/>
      <c r="ES19" s="134"/>
      <c r="ET19" s="99"/>
      <c r="EU19" s="79"/>
      <c r="EV19" s="133"/>
      <c r="EW19" s="134"/>
      <c r="EX19" s="99"/>
      <c r="EY19" s="79"/>
      <c r="EZ19" s="133"/>
      <c r="FA19" s="134"/>
      <c r="FB19" s="99"/>
      <c r="FC19" s="79"/>
      <c r="FD19" s="133"/>
      <c r="FE19" s="134"/>
      <c r="FF19" s="99"/>
      <c r="FG19" s="79"/>
      <c r="FH19" s="133"/>
      <c r="FI19" s="134"/>
      <c r="FJ19" s="99"/>
      <c r="FK19" s="79"/>
      <c r="FL19" s="133"/>
      <c r="FM19" s="134"/>
      <c r="FN19" s="99"/>
      <c r="FO19" s="79"/>
      <c r="FP19" s="133"/>
      <c r="FQ19" s="134"/>
      <c r="FR19" s="99"/>
      <c r="FS19" s="79"/>
      <c r="FT19" s="133"/>
      <c r="FU19" s="134"/>
      <c r="FV19" s="99"/>
      <c r="FW19" s="79"/>
      <c r="FX19" s="133"/>
      <c r="FY19" s="134"/>
      <c r="FZ19" s="99"/>
      <c r="GA19" s="79"/>
      <c r="GB19" s="133"/>
      <c r="GC19" s="134"/>
      <c r="GD19" s="99"/>
      <c r="GE19" s="79"/>
      <c r="GF19" s="133"/>
      <c r="GG19" s="134"/>
      <c r="GH19" s="99"/>
      <c r="GI19" s="79"/>
      <c r="GJ19" s="133"/>
      <c r="GK19" s="134"/>
      <c r="GL19" s="99"/>
      <c r="GM19" s="79"/>
      <c r="GN19" s="133"/>
      <c r="GO19" s="134"/>
      <c r="GP19" s="99"/>
      <c r="GQ19" s="79"/>
      <c r="GR19" s="133"/>
      <c r="GS19" s="134"/>
      <c r="GT19" s="99"/>
      <c r="GU19" s="79"/>
      <c r="GV19" s="133"/>
      <c r="GW19" s="134"/>
      <c r="GX19" s="99"/>
      <c r="GY19" s="79"/>
      <c r="GZ19" s="133"/>
      <c r="HA19" s="134"/>
      <c r="HB19" s="99"/>
      <c r="HC19" s="79"/>
      <c r="HD19" s="133"/>
      <c r="HE19" s="134"/>
      <c r="HF19" s="99"/>
      <c r="HG19" s="79"/>
      <c r="HH19" s="133"/>
      <c r="HI19" s="134"/>
      <c r="HJ19" s="99"/>
      <c r="HK19" s="79"/>
      <c r="HL19" s="133"/>
      <c r="HM19" s="134"/>
      <c r="HN19" s="99"/>
      <c r="HO19" s="79"/>
      <c r="HP19" s="133"/>
      <c r="HQ19" s="134"/>
      <c r="HR19" s="99"/>
      <c r="HS19" s="79"/>
      <c r="HT19" s="133"/>
      <c r="HU19" s="134"/>
      <c r="HV19" s="99"/>
      <c r="HW19" s="79"/>
      <c r="HX19" s="133"/>
      <c r="HY19" s="134"/>
      <c r="HZ19" s="99"/>
      <c r="IA19" s="79"/>
      <c r="IB19" s="133"/>
      <c r="IC19" s="134"/>
      <c r="ID19" s="99"/>
      <c r="IE19" s="79"/>
      <c r="IF19" s="133"/>
      <c r="IG19" s="134"/>
      <c r="IH19" s="99"/>
      <c r="II19" s="79"/>
      <c r="IJ19" s="133"/>
      <c r="IK19" s="134"/>
      <c r="IL19" s="99"/>
      <c r="IM19" s="79"/>
      <c r="IN19" s="133"/>
      <c r="IO19" s="134"/>
      <c r="IP19" s="99"/>
      <c r="IQ19" s="79"/>
      <c r="IR19" s="133"/>
      <c r="IS19" s="134"/>
      <c r="IT19" s="99"/>
      <c r="IU19" s="79"/>
      <c r="IV19" s="61"/>
    </row>
    <row r="20" spans="1:255" s="61" customFormat="1" ht="12.75">
      <c r="A20" s="138"/>
      <c r="B20" s="67"/>
      <c r="C20" s="59"/>
      <c r="D20" s="60"/>
      <c r="E20" s="160"/>
      <c r="F20" s="187"/>
      <c r="G20" s="190"/>
      <c r="H20" s="187"/>
      <c r="I20" s="187"/>
      <c r="J20" s="194"/>
      <c r="K20" s="187"/>
      <c r="L20" s="175"/>
      <c r="M20" s="183"/>
      <c r="N20" s="182"/>
      <c r="O20" s="79"/>
      <c r="P20" s="129"/>
      <c r="Q20" s="135"/>
      <c r="R20" s="131"/>
      <c r="S20" s="79"/>
      <c r="T20" s="129"/>
      <c r="U20" s="135"/>
      <c r="V20" s="131"/>
      <c r="W20" s="79"/>
      <c r="X20" s="129"/>
      <c r="Y20" s="135"/>
      <c r="Z20" s="131"/>
      <c r="AA20" s="79"/>
      <c r="AB20" s="129"/>
      <c r="AC20" s="135"/>
      <c r="AD20" s="131"/>
      <c r="AE20" s="79"/>
      <c r="AF20" s="129"/>
      <c r="AG20" s="135"/>
      <c r="AH20" s="131"/>
      <c r="AI20" s="79"/>
      <c r="AJ20" s="129"/>
      <c r="AK20" s="135"/>
      <c r="AL20" s="131"/>
      <c r="AM20" s="79"/>
      <c r="AN20" s="129"/>
      <c r="AO20" s="135"/>
      <c r="AP20" s="131"/>
      <c r="AQ20" s="79"/>
      <c r="AR20" s="129"/>
      <c r="AS20" s="135"/>
      <c r="AT20" s="131"/>
      <c r="AU20" s="79"/>
      <c r="AV20" s="129"/>
      <c r="AW20" s="135"/>
      <c r="AX20" s="131"/>
      <c r="AY20" s="79"/>
      <c r="AZ20" s="129"/>
      <c r="BA20" s="135"/>
      <c r="BB20" s="131"/>
      <c r="BC20" s="79"/>
      <c r="BD20" s="129"/>
      <c r="BE20" s="135"/>
      <c r="BF20" s="131"/>
      <c r="BG20" s="79"/>
      <c r="BH20" s="129"/>
      <c r="BI20" s="135"/>
      <c r="BJ20" s="131"/>
      <c r="BK20" s="79"/>
      <c r="BL20" s="129"/>
      <c r="BM20" s="135"/>
      <c r="BN20" s="131"/>
      <c r="BO20" s="79"/>
      <c r="BP20" s="129"/>
      <c r="BQ20" s="135"/>
      <c r="BR20" s="131"/>
      <c r="BS20" s="79"/>
      <c r="BT20" s="129"/>
      <c r="BU20" s="135"/>
      <c r="BV20" s="131"/>
      <c r="BW20" s="79"/>
      <c r="BX20" s="129"/>
      <c r="BY20" s="135"/>
      <c r="BZ20" s="131"/>
      <c r="CA20" s="79"/>
      <c r="CB20" s="129"/>
      <c r="CC20" s="135"/>
      <c r="CD20" s="131"/>
      <c r="CE20" s="79"/>
      <c r="CF20" s="129"/>
      <c r="CG20" s="135"/>
      <c r="CH20" s="131"/>
      <c r="CI20" s="79"/>
      <c r="CJ20" s="129"/>
      <c r="CK20" s="135"/>
      <c r="CL20" s="131"/>
      <c r="CM20" s="79"/>
      <c r="CN20" s="129"/>
      <c r="CO20" s="135"/>
      <c r="CP20" s="131"/>
      <c r="CQ20" s="79"/>
      <c r="CR20" s="129"/>
      <c r="CS20" s="135"/>
      <c r="CT20" s="131"/>
      <c r="CU20" s="79"/>
      <c r="CV20" s="129"/>
      <c r="CW20" s="135"/>
      <c r="CX20" s="131"/>
      <c r="CY20" s="79"/>
      <c r="CZ20" s="129"/>
      <c r="DA20" s="135"/>
      <c r="DB20" s="131"/>
      <c r="DC20" s="79"/>
      <c r="DD20" s="129"/>
      <c r="DE20" s="135"/>
      <c r="DF20" s="131"/>
      <c r="DG20" s="79"/>
      <c r="DH20" s="129"/>
      <c r="DI20" s="135"/>
      <c r="DJ20" s="131"/>
      <c r="DK20" s="79"/>
      <c r="DL20" s="129"/>
      <c r="DM20" s="135"/>
      <c r="DN20" s="131"/>
      <c r="DO20" s="79"/>
      <c r="DP20" s="129"/>
      <c r="DQ20" s="135"/>
      <c r="DR20" s="131"/>
      <c r="DS20" s="79"/>
      <c r="DT20" s="129"/>
      <c r="DU20" s="135"/>
      <c r="DV20" s="131"/>
      <c r="DW20" s="79"/>
      <c r="DX20" s="129"/>
      <c r="DY20" s="135"/>
      <c r="DZ20" s="131"/>
      <c r="EA20" s="79"/>
      <c r="EB20" s="129"/>
      <c r="EC20" s="135"/>
      <c r="ED20" s="131"/>
      <c r="EE20" s="79"/>
      <c r="EF20" s="129"/>
      <c r="EG20" s="135"/>
      <c r="EH20" s="131"/>
      <c r="EI20" s="79"/>
      <c r="EJ20" s="129"/>
      <c r="EK20" s="135"/>
      <c r="EL20" s="131"/>
      <c r="EM20" s="79"/>
      <c r="EN20" s="129"/>
      <c r="EO20" s="135"/>
      <c r="EP20" s="131"/>
      <c r="EQ20" s="79"/>
      <c r="ER20" s="129"/>
      <c r="ES20" s="135"/>
      <c r="ET20" s="131"/>
      <c r="EU20" s="79"/>
      <c r="EV20" s="129"/>
      <c r="EW20" s="135"/>
      <c r="EX20" s="131"/>
      <c r="EY20" s="79"/>
      <c r="EZ20" s="129"/>
      <c r="FA20" s="135"/>
      <c r="FB20" s="131"/>
      <c r="FC20" s="79"/>
      <c r="FD20" s="129"/>
      <c r="FE20" s="135"/>
      <c r="FF20" s="131"/>
      <c r="FG20" s="79"/>
      <c r="FH20" s="129"/>
      <c r="FI20" s="135"/>
      <c r="FJ20" s="131"/>
      <c r="FK20" s="79"/>
      <c r="FL20" s="129"/>
      <c r="FM20" s="135"/>
      <c r="FN20" s="131"/>
      <c r="FO20" s="79"/>
      <c r="FP20" s="129"/>
      <c r="FQ20" s="135"/>
      <c r="FR20" s="131"/>
      <c r="FS20" s="79"/>
      <c r="FT20" s="129"/>
      <c r="FU20" s="135"/>
      <c r="FV20" s="131"/>
      <c r="FW20" s="79"/>
      <c r="FX20" s="129"/>
      <c r="FY20" s="135"/>
      <c r="FZ20" s="131"/>
      <c r="GA20" s="79"/>
      <c r="GB20" s="129"/>
      <c r="GC20" s="135"/>
      <c r="GD20" s="131"/>
      <c r="GE20" s="79"/>
      <c r="GF20" s="129"/>
      <c r="GG20" s="135"/>
      <c r="GH20" s="131"/>
      <c r="GI20" s="79"/>
      <c r="GJ20" s="129"/>
      <c r="GK20" s="135"/>
      <c r="GL20" s="131"/>
      <c r="GM20" s="79"/>
      <c r="GN20" s="129"/>
      <c r="GO20" s="135"/>
      <c r="GP20" s="131"/>
      <c r="GQ20" s="79"/>
      <c r="GR20" s="129"/>
      <c r="GS20" s="135"/>
      <c r="GT20" s="131"/>
      <c r="GU20" s="79"/>
      <c r="GV20" s="129"/>
      <c r="GW20" s="135"/>
      <c r="GX20" s="131"/>
      <c r="GY20" s="79"/>
      <c r="GZ20" s="129"/>
      <c r="HA20" s="135"/>
      <c r="HB20" s="131"/>
      <c r="HC20" s="79"/>
      <c r="HD20" s="129"/>
      <c r="HE20" s="135"/>
      <c r="HF20" s="131"/>
      <c r="HG20" s="79"/>
      <c r="HH20" s="129"/>
      <c r="HI20" s="135"/>
      <c r="HJ20" s="131"/>
      <c r="HK20" s="79"/>
      <c r="HL20" s="129"/>
      <c r="HM20" s="135"/>
      <c r="HN20" s="131"/>
      <c r="HO20" s="79"/>
      <c r="HP20" s="129"/>
      <c r="HQ20" s="135"/>
      <c r="HR20" s="131"/>
      <c r="HS20" s="79"/>
      <c r="HT20" s="129"/>
      <c r="HU20" s="135"/>
      <c r="HV20" s="131"/>
      <c r="HW20" s="79"/>
      <c r="HX20" s="129"/>
      <c r="HY20" s="135"/>
      <c r="HZ20" s="131"/>
      <c r="IA20" s="79"/>
      <c r="IB20" s="129"/>
      <c r="IC20" s="135"/>
      <c r="ID20" s="131"/>
      <c r="IE20" s="79"/>
      <c r="IF20" s="129"/>
      <c r="IG20" s="135"/>
      <c r="IH20" s="131"/>
      <c r="II20" s="79"/>
      <c r="IJ20" s="129"/>
      <c r="IK20" s="135"/>
      <c r="IL20" s="131"/>
      <c r="IM20" s="79"/>
      <c r="IN20" s="129"/>
      <c r="IO20" s="135"/>
      <c r="IP20" s="131"/>
      <c r="IQ20" s="79"/>
      <c r="IR20" s="129"/>
      <c r="IS20" s="135"/>
      <c r="IT20" s="131"/>
      <c r="IU20" s="79"/>
    </row>
    <row r="21" spans="1:255" s="61" customFormat="1" ht="12.75">
      <c r="A21" s="139" t="s">
        <v>84</v>
      </c>
      <c r="B21" s="67"/>
      <c r="C21" s="59"/>
      <c r="D21" s="60"/>
      <c r="E21" s="158"/>
      <c r="F21" s="187"/>
      <c r="G21" s="190"/>
      <c r="H21" s="187"/>
      <c r="I21" s="187"/>
      <c r="J21" s="194"/>
      <c r="K21" s="187"/>
      <c r="L21" s="175"/>
      <c r="M21" s="180"/>
      <c r="N21" s="182"/>
      <c r="O21" s="79"/>
      <c r="P21" s="129"/>
      <c r="Q21" s="130"/>
      <c r="R21" s="131"/>
      <c r="S21" s="79"/>
      <c r="T21" s="129"/>
      <c r="U21" s="130"/>
      <c r="V21" s="131"/>
      <c r="W21" s="79"/>
      <c r="X21" s="129"/>
      <c r="Y21" s="130"/>
      <c r="Z21" s="131"/>
      <c r="AA21" s="79"/>
      <c r="AB21" s="129"/>
      <c r="AC21" s="130"/>
      <c r="AD21" s="131"/>
      <c r="AE21" s="79"/>
      <c r="AF21" s="129"/>
      <c r="AG21" s="130"/>
      <c r="AH21" s="131"/>
      <c r="AI21" s="79"/>
      <c r="AJ21" s="129"/>
      <c r="AK21" s="130"/>
      <c r="AL21" s="131"/>
      <c r="AM21" s="79"/>
      <c r="AN21" s="129"/>
      <c r="AO21" s="130"/>
      <c r="AP21" s="131"/>
      <c r="AQ21" s="79"/>
      <c r="AR21" s="129"/>
      <c r="AS21" s="130"/>
      <c r="AT21" s="131"/>
      <c r="AU21" s="79"/>
      <c r="AV21" s="129"/>
      <c r="AW21" s="130"/>
      <c r="AX21" s="131"/>
      <c r="AY21" s="79"/>
      <c r="AZ21" s="129"/>
      <c r="BA21" s="130"/>
      <c r="BB21" s="131"/>
      <c r="BC21" s="79"/>
      <c r="BD21" s="129"/>
      <c r="BE21" s="130"/>
      <c r="BF21" s="131"/>
      <c r="BG21" s="79"/>
      <c r="BH21" s="129"/>
      <c r="BI21" s="130"/>
      <c r="BJ21" s="131"/>
      <c r="BK21" s="79"/>
      <c r="BL21" s="129"/>
      <c r="BM21" s="130"/>
      <c r="BN21" s="131"/>
      <c r="BO21" s="79"/>
      <c r="BP21" s="129"/>
      <c r="BQ21" s="130"/>
      <c r="BR21" s="131"/>
      <c r="BS21" s="79"/>
      <c r="BT21" s="129"/>
      <c r="BU21" s="130"/>
      <c r="BV21" s="131"/>
      <c r="BW21" s="79"/>
      <c r="BX21" s="129"/>
      <c r="BY21" s="130"/>
      <c r="BZ21" s="131"/>
      <c r="CA21" s="79"/>
      <c r="CB21" s="129"/>
      <c r="CC21" s="130"/>
      <c r="CD21" s="131"/>
      <c r="CE21" s="79"/>
      <c r="CF21" s="129"/>
      <c r="CG21" s="130"/>
      <c r="CH21" s="131"/>
      <c r="CI21" s="79"/>
      <c r="CJ21" s="129"/>
      <c r="CK21" s="130"/>
      <c r="CL21" s="131"/>
      <c r="CM21" s="79"/>
      <c r="CN21" s="129"/>
      <c r="CO21" s="130"/>
      <c r="CP21" s="131"/>
      <c r="CQ21" s="79"/>
      <c r="CR21" s="129"/>
      <c r="CS21" s="130"/>
      <c r="CT21" s="131"/>
      <c r="CU21" s="79"/>
      <c r="CV21" s="129"/>
      <c r="CW21" s="130"/>
      <c r="CX21" s="131"/>
      <c r="CY21" s="79"/>
      <c r="CZ21" s="129"/>
      <c r="DA21" s="130"/>
      <c r="DB21" s="131"/>
      <c r="DC21" s="79"/>
      <c r="DD21" s="129"/>
      <c r="DE21" s="130"/>
      <c r="DF21" s="131"/>
      <c r="DG21" s="79"/>
      <c r="DH21" s="129"/>
      <c r="DI21" s="130"/>
      <c r="DJ21" s="131"/>
      <c r="DK21" s="79"/>
      <c r="DL21" s="129"/>
      <c r="DM21" s="130"/>
      <c r="DN21" s="131"/>
      <c r="DO21" s="79"/>
      <c r="DP21" s="129"/>
      <c r="DQ21" s="130"/>
      <c r="DR21" s="131"/>
      <c r="DS21" s="79"/>
      <c r="DT21" s="129"/>
      <c r="DU21" s="130"/>
      <c r="DV21" s="131"/>
      <c r="DW21" s="79"/>
      <c r="DX21" s="129"/>
      <c r="DY21" s="130"/>
      <c r="DZ21" s="131"/>
      <c r="EA21" s="79"/>
      <c r="EB21" s="129"/>
      <c r="EC21" s="130"/>
      <c r="ED21" s="131"/>
      <c r="EE21" s="79"/>
      <c r="EF21" s="129"/>
      <c r="EG21" s="130"/>
      <c r="EH21" s="131"/>
      <c r="EI21" s="79"/>
      <c r="EJ21" s="129"/>
      <c r="EK21" s="130"/>
      <c r="EL21" s="131"/>
      <c r="EM21" s="79"/>
      <c r="EN21" s="129"/>
      <c r="EO21" s="130"/>
      <c r="EP21" s="131"/>
      <c r="EQ21" s="79"/>
      <c r="ER21" s="129"/>
      <c r="ES21" s="130"/>
      <c r="ET21" s="131"/>
      <c r="EU21" s="79"/>
      <c r="EV21" s="129"/>
      <c r="EW21" s="130"/>
      <c r="EX21" s="131"/>
      <c r="EY21" s="79"/>
      <c r="EZ21" s="129"/>
      <c r="FA21" s="130"/>
      <c r="FB21" s="131"/>
      <c r="FC21" s="79"/>
      <c r="FD21" s="129"/>
      <c r="FE21" s="130"/>
      <c r="FF21" s="131"/>
      <c r="FG21" s="79"/>
      <c r="FH21" s="129"/>
      <c r="FI21" s="130"/>
      <c r="FJ21" s="131"/>
      <c r="FK21" s="79"/>
      <c r="FL21" s="129"/>
      <c r="FM21" s="130"/>
      <c r="FN21" s="131"/>
      <c r="FO21" s="79"/>
      <c r="FP21" s="129"/>
      <c r="FQ21" s="130"/>
      <c r="FR21" s="131"/>
      <c r="FS21" s="79"/>
      <c r="FT21" s="129"/>
      <c r="FU21" s="130"/>
      <c r="FV21" s="131"/>
      <c r="FW21" s="79"/>
      <c r="FX21" s="129"/>
      <c r="FY21" s="130"/>
      <c r="FZ21" s="131"/>
      <c r="GA21" s="79"/>
      <c r="GB21" s="129"/>
      <c r="GC21" s="130"/>
      <c r="GD21" s="131"/>
      <c r="GE21" s="79"/>
      <c r="GF21" s="129"/>
      <c r="GG21" s="130"/>
      <c r="GH21" s="131"/>
      <c r="GI21" s="79"/>
      <c r="GJ21" s="129"/>
      <c r="GK21" s="130"/>
      <c r="GL21" s="131"/>
      <c r="GM21" s="79"/>
      <c r="GN21" s="129"/>
      <c r="GO21" s="130"/>
      <c r="GP21" s="131"/>
      <c r="GQ21" s="79"/>
      <c r="GR21" s="129"/>
      <c r="GS21" s="130"/>
      <c r="GT21" s="131"/>
      <c r="GU21" s="79"/>
      <c r="GV21" s="129"/>
      <c r="GW21" s="130"/>
      <c r="GX21" s="131"/>
      <c r="GY21" s="79"/>
      <c r="GZ21" s="129"/>
      <c r="HA21" s="130"/>
      <c r="HB21" s="131"/>
      <c r="HC21" s="79"/>
      <c r="HD21" s="129"/>
      <c r="HE21" s="130"/>
      <c r="HF21" s="131"/>
      <c r="HG21" s="79"/>
      <c r="HH21" s="129"/>
      <c r="HI21" s="130"/>
      <c r="HJ21" s="131"/>
      <c r="HK21" s="79"/>
      <c r="HL21" s="129"/>
      <c r="HM21" s="130"/>
      <c r="HN21" s="131"/>
      <c r="HO21" s="79"/>
      <c r="HP21" s="129"/>
      <c r="HQ21" s="130"/>
      <c r="HR21" s="131"/>
      <c r="HS21" s="79"/>
      <c r="HT21" s="129"/>
      <c r="HU21" s="130"/>
      <c r="HV21" s="131"/>
      <c r="HW21" s="79"/>
      <c r="HX21" s="129"/>
      <c r="HY21" s="130"/>
      <c r="HZ21" s="131"/>
      <c r="IA21" s="79"/>
      <c r="IB21" s="129"/>
      <c r="IC21" s="130"/>
      <c r="ID21" s="131"/>
      <c r="IE21" s="79"/>
      <c r="IF21" s="129"/>
      <c r="IG21" s="130"/>
      <c r="IH21" s="131"/>
      <c r="II21" s="79"/>
      <c r="IJ21" s="129"/>
      <c r="IK21" s="130"/>
      <c r="IL21" s="131"/>
      <c r="IM21" s="79"/>
      <c r="IN21" s="129"/>
      <c r="IO21" s="130"/>
      <c r="IP21" s="131"/>
      <c r="IQ21" s="79"/>
      <c r="IR21" s="129"/>
      <c r="IS21" s="130"/>
      <c r="IT21" s="131"/>
      <c r="IU21" s="79"/>
    </row>
    <row r="22" spans="1:255" s="61" customFormat="1" ht="12.75">
      <c r="A22" s="137" t="s">
        <v>52</v>
      </c>
      <c r="B22" s="72">
        <f>B6</f>
        <v>545</v>
      </c>
      <c r="C22" s="59"/>
      <c r="D22" s="60" t="s">
        <v>117</v>
      </c>
      <c r="E22" s="173"/>
      <c r="F22" s="193"/>
      <c r="G22" s="195"/>
      <c r="H22" s="196"/>
      <c r="I22" s="189"/>
      <c r="J22" s="187"/>
      <c r="K22" s="187"/>
      <c r="L22" s="175"/>
      <c r="M22" s="180"/>
      <c r="N22" s="182"/>
      <c r="O22" s="79"/>
      <c r="P22" s="129"/>
      <c r="Q22" s="130"/>
      <c r="R22" s="131"/>
      <c r="S22" s="79"/>
      <c r="T22" s="129"/>
      <c r="U22" s="130"/>
      <c r="V22" s="131"/>
      <c r="W22" s="79"/>
      <c r="X22" s="129"/>
      <c r="Y22" s="130"/>
      <c r="Z22" s="131"/>
      <c r="AA22" s="79"/>
      <c r="AB22" s="129"/>
      <c r="AC22" s="130"/>
      <c r="AD22" s="131"/>
      <c r="AE22" s="79"/>
      <c r="AF22" s="129"/>
      <c r="AG22" s="130"/>
      <c r="AH22" s="131"/>
      <c r="AI22" s="79"/>
      <c r="AJ22" s="129"/>
      <c r="AK22" s="130"/>
      <c r="AL22" s="131"/>
      <c r="AM22" s="79"/>
      <c r="AN22" s="129"/>
      <c r="AO22" s="130"/>
      <c r="AP22" s="131"/>
      <c r="AQ22" s="79"/>
      <c r="AR22" s="129"/>
      <c r="AS22" s="130"/>
      <c r="AT22" s="131"/>
      <c r="AU22" s="79"/>
      <c r="AV22" s="129"/>
      <c r="AW22" s="130"/>
      <c r="AX22" s="131"/>
      <c r="AY22" s="79"/>
      <c r="AZ22" s="129"/>
      <c r="BA22" s="130"/>
      <c r="BB22" s="131"/>
      <c r="BC22" s="79"/>
      <c r="BD22" s="129"/>
      <c r="BE22" s="130"/>
      <c r="BF22" s="131"/>
      <c r="BG22" s="79"/>
      <c r="BH22" s="129"/>
      <c r="BI22" s="130"/>
      <c r="BJ22" s="131"/>
      <c r="BK22" s="79"/>
      <c r="BL22" s="129"/>
      <c r="BM22" s="130"/>
      <c r="BN22" s="131"/>
      <c r="BO22" s="79"/>
      <c r="BP22" s="129"/>
      <c r="BQ22" s="130"/>
      <c r="BR22" s="131"/>
      <c r="BS22" s="79"/>
      <c r="BT22" s="129"/>
      <c r="BU22" s="130"/>
      <c r="BV22" s="131"/>
      <c r="BW22" s="79"/>
      <c r="BX22" s="129"/>
      <c r="BY22" s="130"/>
      <c r="BZ22" s="131"/>
      <c r="CA22" s="79"/>
      <c r="CB22" s="129"/>
      <c r="CC22" s="130"/>
      <c r="CD22" s="131"/>
      <c r="CE22" s="79"/>
      <c r="CF22" s="129"/>
      <c r="CG22" s="130"/>
      <c r="CH22" s="131"/>
      <c r="CI22" s="79"/>
      <c r="CJ22" s="129"/>
      <c r="CK22" s="130"/>
      <c r="CL22" s="131"/>
      <c r="CM22" s="79"/>
      <c r="CN22" s="129"/>
      <c r="CO22" s="130"/>
      <c r="CP22" s="131"/>
      <c r="CQ22" s="79"/>
      <c r="CR22" s="129"/>
      <c r="CS22" s="130"/>
      <c r="CT22" s="131"/>
      <c r="CU22" s="79"/>
      <c r="CV22" s="129"/>
      <c r="CW22" s="130"/>
      <c r="CX22" s="131"/>
      <c r="CY22" s="79"/>
      <c r="CZ22" s="129"/>
      <c r="DA22" s="130"/>
      <c r="DB22" s="131"/>
      <c r="DC22" s="79"/>
      <c r="DD22" s="129"/>
      <c r="DE22" s="130"/>
      <c r="DF22" s="131"/>
      <c r="DG22" s="79"/>
      <c r="DH22" s="129"/>
      <c r="DI22" s="130"/>
      <c r="DJ22" s="131"/>
      <c r="DK22" s="79"/>
      <c r="DL22" s="129"/>
      <c r="DM22" s="130"/>
      <c r="DN22" s="131"/>
      <c r="DO22" s="79"/>
      <c r="DP22" s="129"/>
      <c r="DQ22" s="130"/>
      <c r="DR22" s="131"/>
      <c r="DS22" s="79"/>
      <c r="DT22" s="129"/>
      <c r="DU22" s="130"/>
      <c r="DV22" s="131"/>
      <c r="DW22" s="79"/>
      <c r="DX22" s="129"/>
      <c r="DY22" s="130"/>
      <c r="DZ22" s="131"/>
      <c r="EA22" s="79"/>
      <c r="EB22" s="129"/>
      <c r="EC22" s="130"/>
      <c r="ED22" s="131"/>
      <c r="EE22" s="79"/>
      <c r="EF22" s="129"/>
      <c r="EG22" s="130"/>
      <c r="EH22" s="131"/>
      <c r="EI22" s="79"/>
      <c r="EJ22" s="129"/>
      <c r="EK22" s="130"/>
      <c r="EL22" s="131"/>
      <c r="EM22" s="79"/>
      <c r="EN22" s="129"/>
      <c r="EO22" s="130"/>
      <c r="EP22" s="131"/>
      <c r="EQ22" s="79"/>
      <c r="ER22" s="129"/>
      <c r="ES22" s="130"/>
      <c r="ET22" s="131"/>
      <c r="EU22" s="79"/>
      <c r="EV22" s="129"/>
      <c r="EW22" s="130"/>
      <c r="EX22" s="131"/>
      <c r="EY22" s="79"/>
      <c r="EZ22" s="129"/>
      <c r="FA22" s="130"/>
      <c r="FB22" s="131"/>
      <c r="FC22" s="79"/>
      <c r="FD22" s="129"/>
      <c r="FE22" s="130"/>
      <c r="FF22" s="131"/>
      <c r="FG22" s="79"/>
      <c r="FH22" s="129"/>
      <c r="FI22" s="130"/>
      <c r="FJ22" s="131"/>
      <c r="FK22" s="79"/>
      <c r="FL22" s="129"/>
      <c r="FM22" s="130"/>
      <c r="FN22" s="131"/>
      <c r="FO22" s="79"/>
      <c r="FP22" s="129"/>
      <c r="FQ22" s="130"/>
      <c r="FR22" s="131"/>
      <c r="FS22" s="79"/>
      <c r="FT22" s="129"/>
      <c r="FU22" s="130"/>
      <c r="FV22" s="131"/>
      <c r="FW22" s="79"/>
      <c r="FX22" s="129"/>
      <c r="FY22" s="130"/>
      <c r="FZ22" s="131"/>
      <c r="GA22" s="79"/>
      <c r="GB22" s="129"/>
      <c r="GC22" s="130"/>
      <c r="GD22" s="131"/>
      <c r="GE22" s="79"/>
      <c r="GF22" s="129"/>
      <c r="GG22" s="130"/>
      <c r="GH22" s="131"/>
      <c r="GI22" s="79"/>
      <c r="GJ22" s="129"/>
      <c r="GK22" s="130"/>
      <c r="GL22" s="131"/>
      <c r="GM22" s="79"/>
      <c r="GN22" s="129"/>
      <c r="GO22" s="130"/>
      <c r="GP22" s="131"/>
      <c r="GQ22" s="79"/>
      <c r="GR22" s="129"/>
      <c r="GS22" s="130"/>
      <c r="GT22" s="131"/>
      <c r="GU22" s="79"/>
      <c r="GV22" s="129"/>
      <c r="GW22" s="130"/>
      <c r="GX22" s="131"/>
      <c r="GY22" s="79"/>
      <c r="GZ22" s="129"/>
      <c r="HA22" s="130"/>
      <c r="HB22" s="131"/>
      <c r="HC22" s="79"/>
      <c r="HD22" s="129"/>
      <c r="HE22" s="130"/>
      <c r="HF22" s="131"/>
      <c r="HG22" s="79"/>
      <c r="HH22" s="129"/>
      <c r="HI22" s="130"/>
      <c r="HJ22" s="131"/>
      <c r="HK22" s="79"/>
      <c r="HL22" s="129"/>
      <c r="HM22" s="130"/>
      <c r="HN22" s="131"/>
      <c r="HO22" s="79"/>
      <c r="HP22" s="129"/>
      <c r="HQ22" s="130"/>
      <c r="HR22" s="131"/>
      <c r="HS22" s="79"/>
      <c r="HT22" s="129"/>
      <c r="HU22" s="130"/>
      <c r="HV22" s="131"/>
      <c r="HW22" s="79"/>
      <c r="HX22" s="129"/>
      <c r="HY22" s="130"/>
      <c r="HZ22" s="131"/>
      <c r="IA22" s="79"/>
      <c r="IB22" s="129"/>
      <c r="IC22" s="130"/>
      <c r="ID22" s="131"/>
      <c r="IE22" s="79"/>
      <c r="IF22" s="129"/>
      <c r="IG22" s="130"/>
      <c r="IH22" s="131"/>
      <c r="II22" s="79"/>
      <c r="IJ22" s="129"/>
      <c r="IK22" s="130"/>
      <c r="IL22" s="131"/>
      <c r="IM22" s="79"/>
      <c r="IN22" s="129"/>
      <c r="IO22" s="130"/>
      <c r="IP22" s="131"/>
      <c r="IQ22" s="79"/>
      <c r="IR22" s="129"/>
      <c r="IS22" s="130"/>
      <c r="IT22" s="131"/>
      <c r="IU22" s="79"/>
    </row>
    <row r="23" spans="1:255" s="61" customFormat="1" ht="12.75">
      <c r="A23" s="137" t="s">
        <v>71</v>
      </c>
      <c r="B23" s="100">
        <v>0.46</v>
      </c>
      <c r="C23" s="59"/>
      <c r="D23" s="60" t="s">
        <v>97</v>
      </c>
      <c r="E23" s="175"/>
      <c r="F23" s="193"/>
      <c r="G23" s="195"/>
      <c r="H23" s="196"/>
      <c r="I23" s="189"/>
      <c r="J23" s="187"/>
      <c r="K23" s="187"/>
      <c r="L23" s="175"/>
      <c r="M23" s="180"/>
      <c r="N23" s="182"/>
      <c r="O23" s="79"/>
      <c r="P23" s="129"/>
      <c r="Q23" s="130"/>
      <c r="R23" s="131"/>
      <c r="S23" s="79"/>
      <c r="T23" s="129"/>
      <c r="U23" s="130"/>
      <c r="V23" s="131"/>
      <c r="W23" s="79"/>
      <c r="X23" s="129"/>
      <c r="Y23" s="130"/>
      <c r="Z23" s="131"/>
      <c r="AA23" s="79"/>
      <c r="AB23" s="129"/>
      <c r="AC23" s="130"/>
      <c r="AD23" s="131"/>
      <c r="AE23" s="79"/>
      <c r="AF23" s="129"/>
      <c r="AG23" s="130"/>
      <c r="AH23" s="131"/>
      <c r="AI23" s="79"/>
      <c r="AJ23" s="129"/>
      <c r="AK23" s="130"/>
      <c r="AL23" s="131"/>
      <c r="AM23" s="79"/>
      <c r="AN23" s="129"/>
      <c r="AO23" s="130"/>
      <c r="AP23" s="131"/>
      <c r="AQ23" s="79"/>
      <c r="AR23" s="129"/>
      <c r="AS23" s="130"/>
      <c r="AT23" s="131"/>
      <c r="AU23" s="79"/>
      <c r="AV23" s="129"/>
      <c r="AW23" s="130"/>
      <c r="AX23" s="131"/>
      <c r="AY23" s="79"/>
      <c r="AZ23" s="129"/>
      <c r="BA23" s="130"/>
      <c r="BB23" s="131"/>
      <c r="BC23" s="79"/>
      <c r="BD23" s="129"/>
      <c r="BE23" s="130"/>
      <c r="BF23" s="131"/>
      <c r="BG23" s="79"/>
      <c r="BH23" s="129"/>
      <c r="BI23" s="130"/>
      <c r="BJ23" s="131"/>
      <c r="BK23" s="79"/>
      <c r="BL23" s="129"/>
      <c r="BM23" s="130"/>
      <c r="BN23" s="131"/>
      <c r="BO23" s="79"/>
      <c r="BP23" s="129"/>
      <c r="BQ23" s="130"/>
      <c r="BR23" s="131"/>
      <c r="BS23" s="79"/>
      <c r="BT23" s="129"/>
      <c r="BU23" s="130"/>
      <c r="BV23" s="131"/>
      <c r="BW23" s="79"/>
      <c r="BX23" s="129"/>
      <c r="BY23" s="130"/>
      <c r="BZ23" s="131"/>
      <c r="CA23" s="79"/>
      <c r="CB23" s="129"/>
      <c r="CC23" s="130"/>
      <c r="CD23" s="131"/>
      <c r="CE23" s="79"/>
      <c r="CF23" s="129"/>
      <c r="CG23" s="130"/>
      <c r="CH23" s="131"/>
      <c r="CI23" s="79"/>
      <c r="CJ23" s="129"/>
      <c r="CK23" s="130"/>
      <c r="CL23" s="131"/>
      <c r="CM23" s="79"/>
      <c r="CN23" s="129"/>
      <c r="CO23" s="130"/>
      <c r="CP23" s="131"/>
      <c r="CQ23" s="79"/>
      <c r="CR23" s="129"/>
      <c r="CS23" s="130"/>
      <c r="CT23" s="131"/>
      <c r="CU23" s="79"/>
      <c r="CV23" s="129"/>
      <c r="CW23" s="130"/>
      <c r="CX23" s="131"/>
      <c r="CY23" s="79"/>
      <c r="CZ23" s="129"/>
      <c r="DA23" s="130"/>
      <c r="DB23" s="131"/>
      <c r="DC23" s="79"/>
      <c r="DD23" s="129"/>
      <c r="DE23" s="130"/>
      <c r="DF23" s="131"/>
      <c r="DG23" s="79"/>
      <c r="DH23" s="129"/>
      <c r="DI23" s="130"/>
      <c r="DJ23" s="131"/>
      <c r="DK23" s="79"/>
      <c r="DL23" s="129"/>
      <c r="DM23" s="130"/>
      <c r="DN23" s="131"/>
      <c r="DO23" s="79"/>
      <c r="DP23" s="129"/>
      <c r="DQ23" s="130"/>
      <c r="DR23" s="131"/>
      <c r="DS23" s="79"/>
      <c r="DT23" s="129"/>
      <c r="DU23" s="130"/>
      <c r="DV23" s="131"/>
      <c r="DW23" s="79"/>
      <c r="DX23" s="129"/>
      <c r="DY23" s="130"/>
      <c r="DZ23" s="131"/>
      <c r="EA23" s="79"/>
      <c r="EB23" s="129"/>
      <c r="EC23" s="130"/>
      <c r="ED23" s="131"/>
      <c r="EE23" s="79"/>
      <c r="EF23" s="129"/>
      <c r="EG23" s="130"/>
      <c r="EH23" s="131"/>
      <c r="EI23" s="79"/>
      <c r="EJ23" s="129"/>
      <c r="EK23" s="130"/>
      <c r="EL23" s="131"/>
      <c r="EM23" s="79"/>
      <c r="EN23" s="129"/>
      <c r="EO23" s="130"/>
      <c r="EP23" s="131"/>
      <c r="EQ23" s="79"/>
      <c r="ER23" s="129"/>
      <c r="ES23" s="130"/>
      <c r="ET23" s="131"/>
      <c r="EU23" s="79"/>
      <c r="EV23" s="129"/>
      <c r="EW23" s="130"/>
      <c r="EX23" s="131"/>
      <c r="EY23" s="79"/>
      <c r="EZ23" s="129"/>
      <c r="FA23" s="130"/>
      <c r="FB23" s="131"/>
      <c r="FC23" s="79"/>
      <c r="FD23" s="129"/>
      <c r="FE23" s="130"/>
      <c r="FF23" s="131"/>
      <c r="FG23" s="79"/>
      <c r="FH23" s="129"/>
      <c r="FI23" s="130"/>
      <c r="FJ23" s="131"/>
      <c r="FK23" s="79"/>
      <c r="FL23" s="129"/>
      <c r="FM23" s="130"/>
      <c r="FN23" s="131"/>
      <c r="FO23" s="79"/>
      <c r="FP23" s="129"/>
      <c r="FQ23" s="130"/>
      <c r="FR23" s="131"/>
      <c r="FS23" s="79"/>
      <c r="FT23" s="129"/>
      <c r="FU23" s="130"/>
      <c r="FV23" s="131"/>
      <c r="FW23" s="79"/>
      <c r="FX23" s="129"/>
      <c r="FY23" s="130"/>
      <c r="FZ23" s="131"/>
      <c r="GA23" s="79"/>
      <c r="GB23" s="129"/>
      <c r="GC23" s="130"/>
      <c r="GD23" s="131"/>
      <c r="GE23" s="79"/>
      <c r="GF23" s="129"/>
      <c r="GG23" s="130"/>
      <c r="GH23" s="131"/>
      <c r="GI23" s="79"/>
      <c r="GJ23" s="129"/>
      <c r="GK23" s="130"/>
      <c r="GL23" s="131"/>
      <c r="GM23" s="79"/>
      <c r="GN23" s="129"/>
      <c r="GO23" s="130"/>
      <c r="GP23" s="131"/>
      <c r="GQ23" s="79"/>
      <c r="GR23" s="129"/>
      <c r="GS23" s="130"/>
      <c r="GT23" s="131"/>
      <c r="GU23" s="79"/>
      <c r="GV23" s="129"/>
      <c r="GW23" s="130"/>
      <c r="GX23" s="131"/>
      <c r="GY23" s="79"/>
      <c r="GZ23" s="129"/>
      <c r="HA23" s="130"/>
      <c r="HB23" s="131"/>
      <c r="HC23" s="79"/>
      <c r="HD23" s="129"/>
      <c r="HE23" s="130"/>
      <c r="HF23" s="131"/>
      <c r="HG23" s="79"/>
      <c r="HH23" s="129"/>
      <c r="HI23" s="130"/>
      <c r="HJ23" s="131"/>
      <c r="HK23" s="79"/>
      <c r="HL23" s="129"/>
      <c r="HM23" s="130"/>
      <c r="HN23" s="131"/>
      <c r="HO23" s="79"/>
      <c r="HP23" s="129"/>
      <c r="HQ23" s="130"/>
      <c r="HR23" s="131"/>
      <c r="HS23" s="79"/>
      <c r="HT23" s="129"/>
      <c r="HU23" s="130"/>
      <c r="HV23" s="131"/>
      <c r="HW23" s="79"/>
      <c r="HX23" s="129"/>
      <c r="HY23" s="130"/>
      <c r="HZ23" s="131"/>
      <c r="IA23" s="79"/>
      <c r="IB23" s="129"/>
      <c r="IC23" s="130"/>
      <c r="ID23" s="131"/>
      <c r="IE23" s="79"/>
      <c r="IF23" s="129"/>
      <c r="IG23" s="130"/>
      <c r="IH23" s="131"/>
      <c r="II23" s="79"/>
      <c r="IJ23" s="129"/>
      <c r="IK23" s="130"/>
      <c r="IL23" s="131"/>
      <c r="IM23" s="79"/>
      <c r="IN23" s="129"/>
      <c r="IO23" s="130"/>
      <c r="IP23" s="131"/>
      <c r="IQ23" s="79"/>
      <c r="IR23" s="129"/>
      <c r="IS23" s="130"/>
      <c r="IT23" s="131"/>
      <c r="IU23" s="79"/>
    </row>
    <row r="24" spans="1:256" s="61" customFormat="1" ht="12.75">
      <c r="A24" s="138" t="s">
        <v>34</v>
      </c>
      <c r="B24" s="70">
        <f>B8</f>
        <v>11</v>
      </c>
      <c r="C24" s="68" t="s">
        <v>21</v>
      </c>
      <c r="D24" s="60" t="s">
        <v>97</v>
      </c>
      <c r="E24" s="173"/>
      <c r="F24" s="197"/>
      <c r="G24" s="187"/>
      <c r="H24" s="187"/>
      <c r="I24" s="187"/>
      <c r="J24" s="187"/>
      <c r="K24" s="187"/>
      <c r="L24" s="173"/>
      <c r="M24" s="173"/>
      <c r="N24" s="173"/>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s="61" customFormat="1" ht="12.75">
      <c r="A25" s="138" t="s">
        <v>79</v>
      </c>
      <c r="B25" s="70">
        <v>6</v>
      </c>
      <c r="C25" s="59" t="s">
        <v>113</v>
      </c>
      <c r="D25" s="60" t="s">
        <v>97</v>
      </c>
      <c r="E25" s="184"/>
      <c r="F25" s="198"/>
      <c r="G25" s="199"/>
      <c r="H25" s="199"/>
      <c r="I25" s="199"/>
      <c r="J25" s="187"/>
      <c r="K25" s="187"/>
      <c r="L25" s="173"/>
      <c r="M25" s="173"/>
      <c r="N25" s="173"/>
      <c r="O25" s="79"/>
      <c r="P25" s="79"/>
      <c r="Q25" s="79"/>
      <c r="R25" s="79"/>
      <c r="S25" s="79"/>
      <c r="T25" s="79"/>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c r="IU25" s="80"/>
      <c r="IV25" s="80"/>
    </row>
    <row r="26" spans="1:256" ht="12.75">
      <c r="A26" s="138" t="s">
        <v>72</v>
      </c>
      <c r="B26" s="70">
        <f>B25*B42</f>
        <v>1290</v>
      </c>
      <c r="C26" s="68" t="s">
        <v>114</v>
      </c>
      <c r="D26" s="60" t="s">
        <v>35</v>
      </c>
      <c r="F26" s="129"/>
      <c r="G26" s="130"/>
      <c r="J26" s="79"/>
      <c r="K26" s="79"/>
      <c r="L26" s="79"/>
      <c r="M26" s="79"/>
      <c r="N26" s="79"/>
      <c r="O26" s="79"/>
      <c r="P26" s="79"/>
      <c r="Q26" s="79"/>
      <c r="R26" s="79"/>
      <c r="S26" s="79"/>
      <c r="T26" s="79"/>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row>
    <row r="27" spans="1:256" s="80" customFormat="1" ht="12.75">
      <c r="A27" s="140" t="s">
        <v>57</v>
      </c>
      <c r="B27" s="67"/>
      <c r="D27" s="60"/>
      <c r="E27" s="79"/>
      <c r="F27" s="61"/>
      <c r="G27" s="78"/>
      <c r="H27" s="132"/>
      <c r="I27" s="78"/>
      <c r="J27" s="61"/>
      <c r="K27" s="61"/>
      <c r="L27" s="61"/>
      <c r="M27" s="61"/>
      <c r="N27" s="61"/>
      <c r="O27" s="61"/>
      <c r="P27" s="61"/>
      <c r="Q27" s="61"/>
      <c r="R27" s="61"/>
      <c r="S27" s="61"/>
      <c r="T27" s="61"/>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s="80" customFormat="1" ht="12.75">
      <c r="A28" s="141" t="s">
        <v>80</v>
      </c>
      <c r="B28" s="154">
        <f>1/'Dishwasher Calculator'!G26</f>
        <v>2.1739130434782608</v>
      </c>
      <c r="C28" s="68" t="s">
        <v>76</v>
      </c>
      <c r="D28" s="60" t="s">
        <v>98</v>
      </c>
      <c r="E28" s="79"/>
      <c r="F28" s="133"/>
      <c r="G28" s="61"/>
      <c r="H28" s="133"/>
      <c r="I28" s="134"/>
      <c r="J28" s="61"/>
      <c r="K28" s="61"/>
      <c r="L28" s="61"/>
      <c r="M28" s="61"/>
      <c r="N28" s="61"/>
      <c r="O28" s="61"/>
      <c r="P28" s="61"/>
      <c r="Q28" s="61"/>
      <c r="R28" s="61"/>
      <c r="S28" s="61"/>
      <c r="T28" s="61"/>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9" ht="12.75">
      <c r="A29" s="141" t="s">
        <v>60</v>
      </c>
      <c r="B29" s="148">
        <f>B42/'Dishwasher Calculator'!G26</f>
        <v>467.39130434782606</v>
      </c>
      <c r="C29" s="68" t="s">
        <v>61</v>
      </c>
      <c r="D29" s="60" t="s">
        <v>35</v>
      </c>
      <c r="F29" s="129"/>
      <c r="H29" s="129"/>
      <c r="I29" s="135"/>
    </row>
    <row r="30" spans="1:9" ht="12.75">
      <c r="A30" s="140" t="s">
        <v>58</v>
      </c>
      <c r="B30" s="67"/>
      <c r="C30" s="59"/>
      <c r="D30" s="60"/>
      <c r="E30" s="75"/>
      <c r="F30" s="129"/>
      <c r="H30" s="129"/>
      <c r="I30" s="130"/>
    </row>
    <row r="31" spans="1:9" ht="12.75">
      <c r="A31" s="138" t="s">
        <v>115</v>
      </c>
      <c r="B31" s="67">
        <f>(('Dishwasher Calculator'!G26)-0.46)/0.46</f>
        <v>0</v>
      </c>
      <c r="C31" s="59"/>
      <c r="D31" s="60"/>
      <c r="E31" s="75"/>
      <c r="F31" s="129"/>
      <c r="H31" s="129"/>
      <c r="I31" s="130"/>
    </row>
    <row r="32" spans="1:9" ht="12.75">
      <c r="A32" s="141" t="s">
        <v>80</v>
      </c>
      <c r="B32" s="154">
        <f>(((1/'Dishwasher Calculator'!G26))-(0.58*(1-B31))*1.63)</f>
        <v>1.228513043478261</v>
      </c>
      <c r="C32" s="68" t="s">
        <v>76</v>
      </c>
      <c r="D32" s="60" t="s">
        <v>98</v>
      </c>
      <c r="F32" s="129"/>
      <c r="H32" s="129"/>
      <c r="I32" s="130"/>
    </row>
    <row r="33" spans="1:9" ht="12.75">
      <c r="A33" s="141" t="s">
        <v>60</v>
      </c>
      <c r="B33" s="148">
        <f>B32*B42</f>
        <v>264.1303043478261</v>
      </c>
      <c r="C33" s="68" t="s">
        <v>61</v>
      </c>
      <c r="D33" s="60" t="s">
        <v>35</v>
      </c>
      <c r="F33" s="130"/>
      <c r="G33" s="131"/>
      <c r="H33" s="129"/>
      <c r="I33" s="130"/>
    </row>
    <row r="34" spans="1:4" ht="12.75">
      <c r="A34" s="141" t="s">
        <v>77</v>
      </c>
      <c r="B34" s="171">
        <f>B35/B42</f>
        <v>0.08883720930232558</v>
      </c>
      <c r="C34" s="68" t="s">
        <v>78</v>
      </c>
      <c r="D34" s="60" t="s">
        <v>35</v>
      </c>
    </row>
    <row r="35" spans="1:9" ht="12.75">
      <c r="A35" s="141" t="s">
        <v>62</v>
      </c>
      <c r="B35" s="148">
        <v>19.1</v>
      </c>
      <c r="C35" s="68" t="s">
        <v>63</v>
      </c>
      <c r="D35" s="60" t="s">
        <v>98</v>
      </c>
      <c r="F35" s="79"/>
      <c r="G35" s="79"/>
      <c r="H35" s="79"/>
      <c r="I35" s="79"/>
    </row>
    <row r="36" spans="1:9" ht="12.75" customHeight="1">
      <c r="A36" s="138"/>
      <c r="B36" s="67"/>
      <c r="C36" s="59"/>
      <c r="D36" s="60"/>
      <c r="F36" s="79"/>
      <c r="G36" s="79"/>
      <c r="H36" s="79"/>
      <c r="I36" s="79"/>
    </row>
    <row r="37" spans="1:9" ht="12.75" customHeight="1">
      <c r="A37" s="143" t="s">
        <v>22</v>
      </c>
      <c r="B37" s="69"/>
      <c r="C37" s="71"/>
      <c r="D37" s="60"/>
      <c r="F37" s="79"/>
      <c r="G37" s="79"/>
      <c r="H37" s="79"/>
      <c r="I37" s="79"/>
    </row>
    <row r="38" spans="1:4" ht="12.75">
      <c r="A38" s="97" t="s">
        <v>27</v>
      </c>
      <c r="B38" s="72">
        <v>20</v>
      </c>
      <c r="C38" s="59"/>
      <c r="D38" s="60" t="s">
        <v>38</v>
      </c>
    </row>
    <row r="39" spans="1:256" ht="12.75">
      <c r="A39" s="97" t="s">
        <v>36</v>
      </c>
      <c r="B39" s="67">
        <v>0</v>
      </c>
      <c r="C39" s="59"/>
      <c r="D39" s="60" t="s">
        <v>38</v>
      </c>
      <c r="J39" s="79"/>
      <c r="K39" s="79"/>
      <c r="L39" s="79"/>
      <c r="M39" s="79"/>
      <c r="N39" s="79"/>
      <c r="O39" s="79"/>
      <c r="P39" s="79"/>
      <c r="Q39" s="79"/>
      <c r="R39" s="79"/>
      <c r="S39" s="79"/>
      <c r="T39" s="79"/>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row>
    <row r="40" spans="1:256" ht="12.75">
      <c r="A40" s="97"/>
      <c r="B40" s="100"/>
      <c r="C40" s="59"/>
      <c r="D40" s="60"/>
      <c r="J40" s="79"/>
      <c r="K40" s="79"/>
      <c r="L40" s="79"/>
      <c r="M40" s="79"/>
      <c r="N40" s="79"/>
      <c r="O40" s="79"/>
      <c r="P40" s="79"/>
      <c r="Q40" s="79"/>
      <c r="R40" s="79"/>
      <c r="S40" s="79"/>
      <c r="T40" s="79"/>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c r="IK40" s="80"/>
      <c r="IL40" s="80"/>
      <c r="IM40" s="80"/>
      <c r="IN40" s="80"/>
      <c r="IO40" s="80"/>
      <c r="IP40" s="80"/>
      <c r="IQ40" s="80"/>
      <c r="IR40" s="80"/>
      <c r="IS40" s="80"/>
      <c r="IT40" s="80"/>
      <c r="IU40" s="80"/>
      <c r="IV40" s="80"/>
    </row>
    <row r="41" spans="1:20" s="80" customFormat="1" ht="15">
      <c r="A41" s="143" t="s">
        <v>23</v>
      </c>
      <c r="B41" s="67"/>
      <c r="C41" s="59"/>
      <c r="D41" s="60"/>
      <c r="E41" s="79"/>
      <c r="F41" s="61"/>
      <c r="G41" s="61"/>
      <c r="H41" s="61"/>
      <c r="I41" s="61"/>
      <c r="J41" s="79"/>
      <c r="K41" s="79"/>
      <c r="L41" s="79"/>
      <c r="M41" s="79"/>
      <c r="N41" s="79"/>
      <c r="O41" s="79"/>
      <c r="P41" s="79"/>
      <c r="Q41" s="79"/>
      <c r="R41" s="79"/>
      <c r="S41" s="79"/>
      <c r="T41" s="79"/>
    </row>
    <row r="42" spans="1:20" s="80" customFormat="1" ht="12.75">
      <c r="A42" s="87" t="s">
        <v>106</v>
      </c>
      <c r="B42" s="73">
        <v>215</v>
      </c>
      <c r="C42" s="74" t="s">
        <v>81</v>
      </c>
      <c r="D42" s="60" t="s">
        <v>98</v>
      </c>
      <c r="E42" s="79"/>
      <c r="F42" s="61"/>
      <c r="G42" s="61"/>
      <c r="H42" s="61"/>
      <c r="I42" s="61"/>
      <c r="J42" s="79"/>
      <c r="K42" s="79"/>
      <c r="L42" s="79"/>
      <c r="M42" s="79"/>
      <c r="N42" s="79"/>
      <c r="O42" s="79"/>
      <c r="P42" s="79"/>
      <c r="Q42" s="79"/>
      <c r="R42" s="79"/>
      <c r="S42" s="79"/>
      <c r="T42" s="79"/>
    </row>
    <row r="43" spans="1:20" s="80" customFormat="1" ht="12.75">
      <c r="A43" s="87" t="s">
        <v>105</v>
      </c>
      <c r="B43" s="176">
        <f>B42/52</f>
        <v>4.134615384615385</v>
      </c>
      <c r="C43" s="59" t="s">
        <v>82</v>
      </c>
      <c r="D43" s="60" t="s">
        <v>35</v>
      </c>
      <c r="E43" s="79"/>
      <c r="F43" s="61"/>
      <c r="G43" s="61"/>
      <c r="H43" s="61"/>
      <c r="I43" s="61"/>
      <c r="J43" s="79"/>
      <c r="K43" s="79"/>
      <c r="L43" s="79"/>
      <c r="M43" s="79"/>
      <c r="N43" s="79"/>
      <c r="O43" s="79"/>
      <c r="P43" s="79"/>
      <c r="Q43" s="79"/>
      <c r="R43" s="79"/>
      <c r="S43" s="79"/>
      <c r="T43" s="79"/>
    </row>
    <row r="44" spans="1:20" s="80" customFormat="1" ht="12.75">
      <c r="A44" s="87"/>
      <c r="B44" s="67"/>
      <c r="C44" s="59"/>
      <c r="D44" s="60"/>
      <c r="E44" s="79"/>
      <c r="F44" s="79"/>
      <c r="G44" s="79"/>
      <c r="H44" s="79"/>
      <c r="I44" s="79"/>
      <c r="J44" s="79"/>
      <c r="K44" s="79"/>
      <c r="L44" s="79"/>
      <c r="M44" s="79"/>
      <c r="N44" s="79"/>
      <c r="O44" s="79"/>
      <c r="P44" s="79"/>
      <c r="Q44" s="79"/>
      <c r="R44" s="79"/>
      <c r="S44" s="79"/>
      <c r="T44" s="79"/>
    </row>
    <row r="45" spans="1:256" s="80" customFormat="1" ht="15">
      <c r="A45" s="85" t="s">
        <v>24</v>
      </c>
      <c r="B45" s="67"/>
      <c r="C45" s="59"/>
      <c r="D45" s="60"/>
      <c r="E45" s="79"/>
      <c r="F45" s="79"/>
      <c r="G45" s="79"/>
      <c r="H45" s="79"/>
      <c r="I45" s="79"/>
      <c r="J45" s="61"/>
      <c r="K45" s="61"/>
      <c r="L45" s="61"/>
      <c r="M45" s="61"/>
      <c r="N45" s="61"/>
      <c r="O45" s="61"/>
      <c r="P45" s="61"/>
      <c r="Q45" s="61"/>
      <c r="R45" s="61"/>
      <c r="S45" s="61"/>
      <c r="T45" s="61"/>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s="80" customFormat="1" ht="54.75" customHeight="1">
      <c r="A46" s="86" t="s">
        <v>25</v>
      </c>
      <c r="B46" s="76">
        <v>0.04</v>
      </c>
      <c r="C46" s="59"/>
      <c r="D46" s="77" t="s">
        <v>26</v>
      </c>
      <c r="E46" s="79"/>
      <c r="F46" s="79"/>
      <c r="G46" s="79"/>
      <c r="H46" s="79"/>
      <c r="I46" s="79"/>
      <c r="J46" s="61"/>
      <c r="K46" s="61"/>
      <c r="L46" s="61"/>
      <c r="M46" s="61"/>
      <c r="N46" s="61"/>
      <c r="O46" s="61"/>
      <c r="P46" s="61"/>
      <c r="Q46" s="61"/>
      <c r="R46" s="61"/>
      <c r="S46" s="61"/>
      <c r="T46" s="61"/>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9" ht="12.75">
      <c r="A47" s="144"/>
      <c r="B47" s="67"/>
      <c r="C47" s="59"/>
      <c r="D47" s="60"/>
      <c r="F47" s="79"/>
      <c r="G47" s="79"/>
      <c r="H47" s="79"/>
      <c r="I47" s="79"/>
    </row>
    <row r="48" spans="1:9" ht="15">
      <c r="A48" s="145" t="s">
        <v>51</v>
      </c>
      <c r="B48" s="67"/>
      <c r="C48" s="59"/>
      <c r="D48" s="60"/>
      <c r="F48" s="79"/>
      <c r="G48" s="79"/>
      <c r="H48" s="79"/>
      <c r="I48" s="79"/>
    </row>
    <row r="49" spans="1:9" ht="12.75">
      <c r="A49" s="97" t="s">
        <v>99</v>
      </c>
      <c r="B49" s="149">
        <v>0.09039</v>
      </c>
      <c r="C49" s="59" t="s">
        <v>40</v>
      </c>
      <c r="D49" s="200" t="s">
        <v>118</v>
      </c>
      <c r="F49" s="79"/>
      <c r="G49" s="79"/>
      <c r="H49" s="79"/>
      <c r="I49" s="79"/>
    </row>
    <row r="50" spans="1:9" ht="12.75">
      <c r="A50" s="97" t="s">
        <v>100</v>
      </c>
      <c r="B50" s="149">
        <v>0.09706</v>
      </c>
      <c r="C50" s="59" t="s">
        <v>40</v>
      </c>
      <c r="D50" s="200" t="s">
        <v>118</v>
      </c>
      <c r="F50" s="79"/>
      <c r="G50" s="79"/>
      <c r="H50" s="79"/>
      <c r="I50" s="79"/>
    </row>
    <row r="51" spans="1:9" ht="12.75">
      <c r="A51" s="97" t="s">
        <v>101</v>
      </c>
      <c r="B51" s="149">
        <v>4.158</v>
      </c>
      <c r="C51" s="59" t="s">
        <v>47</v>
      </c>
      <c r="D51" s="60" t="s">
        <v>74</v>
      </c>
      <c r="F51" s="79"/>
      <c r="G51" s="79"/>
      <c r="H51" s="79"/>
      <c r="I51" s="79"/>
    </row>
    <row r="52" spans="1:9" ht="12.75">
      <c r="A52" s="97" t="s">
        <v>102</v>
      </c>
      <c r="B52" s="161">
        <v>1.1712</v>
      </c>
      <c r="C52" s="59" t="s">
        <v>65</v>
      </c>
      <c r="D52" s="200" t="s">
        <v>118</v>
      </c>
      <c r="F52" s="79"/>
      <c r="G52" s="79"/>
      <c r="H52" s="79"/>
      <c r="I52" s="79"/>
    </row>
    <row r="53" spans="1:9" ht="12.75">
      <c r="A53" s="97" t="s">
        <v>103</v>
      </c>
      <c r="B53" s="161">
        <v>1.3423</v>
      </c>
      <c r="C53" s="59" t="s">
        <v>65</v>
      </c>
      <c r="D53" s="200" t="s">
        <v>118</v>
      </c>
      <c r="F53" s="79"/>
      <c r="G53" s="79" t="s">
        <v>104</v>
      </c>
      <c r="H53" s="79"/>
      <c r="I53" s="79"/>
    </row>
    <row r="54" spans="1:9" ht="12.75">
      <c r="A54" s="97"/>
      <c r="B54" s="67"/>
      <c r="C54" s="59"/>
      <c r="D54" s="60"/>
      <c r="F54" s="79"/>
      <c r="G54" s="79"/>
      <c r="H54" s="79"/>
      <c r="I54" s="79"/>
    </row>
    <row r="55" spans="1:9" ht="15">
      <c r="A55" s="145" t="s">
        <v>37</v>
      </c>
      <c r="B55" s="67"/>
      <c r="C55" s="59"/>
      <c r="D55" s="60"/>
      <c r="F55" s="79"/>
      <c r="G55" s="79"/>
      <c r="H55" s="79"/>
      <c r="I55" s="79"/>
    </row>
    <row r="56" spans="1:9" ht="15.75">
      <c r="A56" s="97" t="s">
        <v>41</v>
      </c>
      <c r="B56" s="67">
        <v>1.535</v>
      </c>
      <c r="C56" s="59" t="s">
        <v>42</v>
      </c>
      <c r="D56" s="60" t="s">
        <v>98</v>
      </c>
      <c r="F56" s="79"/>
      <c r="G56" s="79"/>
      <c r="H56" s="79"/>
      <c r="I56" s="79"/>
    </row>
    <row r="57" spans="1:4" ht="12.75">
      <c r="A57" s="146"/>
      <c r="B57" s="67"/>
      <c r="C57" s="59"/>
      <c r="D57" s="60"/>
    </row>
    <row r="58" spans="1:4" ht="15">
      <c r="A58" s="145" t="s">
        <v>96</v>
      </c>
      <c r="B58" s="107"/>
      <c r="C58" s="59"/>
      <c r="D58" s="60"/>
    </row>
    <row r="59" spans="1:4" ht="15.75">
      <c r="A59" s="97" t="s">
        <v>28</v>
      </c>
      <c r="B59" s="107">
        <v>8066</v>
      </c>
      <c r="C59" s="59" t="s">
        <v>48</v>
      </c>
      <c r="D59" s="60" t="s">
        <v>38</v>
      </c>
    </row>
    <row r="60" spans="1:4" ht="15.75">
      <c r="A60" s="147" t="s">
        <v>29</v>
      </c>
      <c r="B60" s="150">
        <v>11470</v>
      </c>
      <c r="C60" s="82" t="s">
        <v>48</v>
      </c>
      <c r="D60" s="81" t="s">
        <v>38</v>
      </c>
    </row>
    <row r="62" spans="1:2" ht="12.75">
      <c r="A62" s="162" t="s">
        <v>85</v>
      </c>
      <c r="B62" s="163" t="s">
        <v>86</v>
      </c>
    </row>
    <row r="63" spans="1:2" ht="12.75">
      <c r="A63" s="164"/>
      <c r="B63" s="165"/>
    </row>
    <row r="64" spans="1:2" ht="12.75">
      <c r="A64" s="164" t="s">
        <v>119</v>
      </c>
      <c r="B64" s="165"/>
    </row>
    <row r="66" ht="12.75">
      <c r="A66" s="162"/>
    </row>
  </sheetData>
  <sheetProtection/>
  <mergeCells count="11">
    <mergeCell ref="A1:D1"/>
    <mergeCell ref="B3:C3"/>
    <mergeCell ref="H4:I4"/>
    <mergeCell ref="H9:I9"/>
    <mergeCell ref="F4:F5"/>
    <mergeCell ref="F9:F10"/>
    <mergeCell ref="F14:F16"/>
    <mergeCell ref="H14:I14"/>
    <mergeCell ref="G4:G5"/>
    <mergeCell ref="G9:G10"/>
    <mergeCell ref="G14:G16"/>
  </mergeCells>
  <hyperlinks>
    <hyperlink ref="B62" r:id="rId1" display="Escalcs@cadmusgroup.com"/>
  </hyperlinks>
  <printOptions horizontalCentered="1"/>
  <pageMargins left="0" right="0" top="0.5" bottom="0.5" header="0" footer="0.25"/>
  <pageSetup horizontalDpi="600" verticalDpi="600" orientation="portrait"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2004-11-23T23:30:55Z</cp:lastPrinted>
  <dcterms:created xsi:type="dcterms:W3CDTF">2004-07-12T13:20:55Z</dcterms:created>
  <dcterms:modified xsi:type="dcterms:W3CDTF">2008-02-26T18:49:02Z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