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6240" tabRatio="886" activeTab="0"/>
  </bookViews>
  <sheets>
    <sheet name="Dishwasher Calculator" sheetId="1" r:id="rId1"/>
    <sheet name="Assumptions" sheetId="2" r:id="rId2"/>
  </sheets>
  <definedNames>
    <definedName name="_xlnm.Print_Area" localSheetId="1">'Assumptions'!$A$1:$D$231</definedName>
    <definedName name="_xlnm.Print_Area" localSheetId="0">'Dishwasher Calculator'!$A$1:$M$71</definedName>
    <definedName name="_xlnm.Print_Titles" localSheetId="1">'Assumptions'!$1:$3</definedName>
  </definedNames>
  <calcPr fullCalcOnLoad="1"/>
</workbook>
</file>

<file path=xl/sharedStrings.xml><?xml version="1.0" encoding="utf-8"?>
<sst xmlns="http://schemas.openxmlformats.org/spreadsheetml/2006/main" count="608" uniqueCount="147">
  <si>
    <t>Life Cycle Cost Estimate for</t>
  </si>
  <si>
    <t>Enter your own values in the gray boxes or use our default values.</t>
  </si>
  <si>
    <t>Number of units</t>
  </si>
  <si>
    <t>ENERGY STAR Qualified Unit</t>
  </si>
  <si>
    <t>Conventional Unit</t>
  </si>
  <si>
    <t xml:space="preserve"> Savings with ENERGY STAR</t>
  </si>
  <si>
    <t>Maintenance cost</t>
  </si>
  <si>
    <t>Total</t>
  </si>
  <si>
    <r>
      <t>Simple payback of initial additional cost (years)</t>
    </r>
    <r>
      <rPr>
        <vertAlign val="superscript"/>
        <sz val="10"/>
        <rFont val="Univers"/>
        <family val="2"/>
      </rPr>
      <t>†</t>
    </r>
    <r>
      <rPr>
        <sz val="10"/>
        <rFont val="Univers"/>
        <family val="2"/>
      </rPr>
      <t xml:space="preserve">  </t>
    </r>
  </si>
  <si>
    <t xml:space="preserve"> </t>
  </si>
  <si>
    <t>Initial cost difference</t>
  </si>
  <si>
    <t xml:space="preserve">Life cycle savings </t>
  </si>
  <si>
    <t>Net life cycle savings (life cycle savings - additional cost)</t>
  </si>
  <si>
    <t>Simple payback of additional cost (years)</t>
  </si>
  <si>
    <r>
      <t>Life cycle air pollution reduction (lbs of CO</t>
    </r>
    <r>
      <rPr>
        <vertAlign val="subscript"/>
        <sz val="10"/>
        <rFont val="Univers"/>
        <family val="2"/>
      </rPr>
      <t>2</t>
    </r>
    <r>
      <rPr>
        <sz val="10"/>
        <rFont val="Univers"/>
        <family val="2"/>
      </rPr>
      <t>)</t>
    </r>
  </si>
  <si>
    <t>Air pollution reduction equivalence (number of cars removed from the road for a year)</t>
  </si>
  <si>
    <t xml:space="preserve">Air pollution reduction equivalence (acres of forest) </t>
  </si>
  <si>
    <t>Savings as a percent of retail price</t>
  </si>
  <si>
    <t>Category</t>
  </si>
  <si>
    <t>Value</t>
  </si>
  <si>
    <t>Data Source</t>
  </si>
  <si>
    <t>Maintenance</t>
  </si>
  <si>
    <t>Discount Rate</t>
  </si>
  <si>
    <t>Commercial and Residential Discount Rate (real)</t>
  </si>
  <si>
    <t>A real discount rate of 4 percent is assumed, which is roughly equivalent to the nominal discount rate of 7 percent (4 percent real discount rate + 3 percent inflation rate).</t>
  </si>
  <si>
    <t>Labor cost (per hour)</t>
  </si>
  <si>
    <r>
      <t>Annual CO</t>
    </r>
    <r>
      <rPr>
        <vertAlign val="subscript"/>
        <sz val="10"/>
        <rFont val="Univers"/>
        <family val="2"/>
      </rPr>
      <t>2</t>
    </r>
    <r>
      <rPr>
        <sz val="10"/>
        <rFont val="Univers"/>
        <family val="2"/>
      </rPr>
      <t xml:space="preserve"> sequestration per forested acre</t>
    </r>
  </si>
  <si>
    <r>
      <t>Annual CO</t>
    </r>
    <r>
      <rPr>
        <vertAlign val="subscript"/>
        <sz val="10"/>
        <rFont val="Univers"/>
        <family val="2"/>
      </rPr>
      <t>2</t>
    </r>
    <r>
      <rPr>
        <sz val="10"/>
        <rFont val="Univers"/>
        <family val="2"/>
      </rPr>
      <t xml:space="preserve"> emissions for "average" passenger car</t>
    </r>
  </si>
  <si>
    <r>
      <t>Annual Operating Costs</t>
    </r>
    <r>
      <rPr>
        <b/>
        <vertAlign val="superscript"/>
        <sz val="11"/>
        <rFont val="Univers"/>
        <family val="2"/>
      </rPr>
      <t>*</t>
    </r>
  </si>
  <si>
    <r>
      <t>Life Cycle Costs</t>
    </r>
    <r>
      <rPr>
        <b/>
        <vertAlign val="superscript"/>
        <sz val="11"/>
        <rFont val="Univers"/>
        <family val="2"/>
      </rPr>
      <t>*</t>
    </r>
  </si>
  <si>
    <r>
      <t xml:space="preserve">* </t>
    </r>
    <r>
      <rPr>
        <vertAlign val="superscript"/>
        <sz val="9"/>
        <rFont val="Univers"/>
        <family val="2"/>
      </rPr>
      <t xml:space="preserve"> </t>
    </r>
    <r>
      <rPr>
        <i/>
        <sz val="9"/>
        <rFont val="Univers"/>
        <family val="2"/>
      </rPr>
      <t>Annual costs exclude the initial purchase price. All costs, except initial cost, are discounted over the products' lifetime using a real discount rate of 4%. See "Assumptions" to change factors including the discount rate.</t>
    </r>
  </si>
  <si>
    <r>
      <t>†</t>
    </r>
    <r>
      <rPr>
        <i/>
        <sz val="9"/>
        <rFont val="Univers"/>
        <family val="2"/>
      </rPr>
      <t xml:space="preserve">  A simple payback period of zero years means that the payback is immediate.</t>
    </r>
  </si>
  <si>
    <t>Labor time (hours)</t>
  </si>
  <si>
    <t>Carbon Dioxide Emissions Factors</t>
  </si>
  <si>
    <t>EPA 2004</t>
  </si>
  <si>
    <t>This energy savings calculator was developed by the U.S. EPA and U.S. DOE and is provided for estimating purposes only.  Actual energy savings may vary based on use and other factors.</t>
  </si>
  <si>
    <t>$/kWh</t>
  </si>
  <si>
    <t>Electricity Carbon Emission Factors</t>
  </si>
  <si>
    <r>
      <t>lbs CO</t>
    </r>
    <r>
      <rPr>
        <vertAlign val="subscript"/>
        <sz val="10"/>
        <rFont val="Univers"/>
        <family val="2"/>
      </rPr>
      <t>2</t>
    </r>
    <r>
      <rPr>
        <sz val="10"/>
        <rFont val="Univers"/>
        <family val="2"/>
      </rPr>
      <t>/kWh</t>
    </r>
  </si>
  <si>
    <t>Maintenance costs</t>
  </si>
  <si>
    <t>Water costs</t>
  </si>
  <si>
    <t>Water consumption (gal)</t>
  </si>
  <si>
    <t>Initial Cost per Unit (estimated retail price)</t>
  </si>
  <si>
    <t>$/1000 gal</t>
  </si>
  <si>
    <r>
      <t>lbs CO</t>
    </r>
    <r>
      <rPr>
        <vertAlign val="subscript"/>
        <sz val="10"/>
        <rFont val="Univers"/>
        <family val="2"/>
      </rPr>
      <t>2</t>
    </r>
    <r>
      <rPr>
        <sz val="10"/>
        <rFont val="Univers"/>
        <family val="2"/>
      </rPr>
      <t>/year</t>
    </r>
  </si>
  <si>
    <t>Water Rate ($/1000 gallons)</t>
  </si>
  <si>
    <t>Electric Rate ($/kWh)</t>
  </si>
  <si>
    <t>Energy and Water Prices</t>
  </si>
  <si>
    <t>Initial Cost Per Unit</t>
  </si>
  <si>
    <t>ENERGY STAR</t>
  </si>
  <si>
    <t>kWh</t>
  </si>
  <si>
    <t>$/therm</t>
  </si>
  <si>
    <t>Gas consumption (therm)</t>
  </si>
  <si>
    <t>Gas costs</t>
  </si>
  <si>
    <t>%</t>
  </si>
  <si>
    <t>DOE 2004</t>
  </si>
  <si>
    <t xml:space="preserve">For questions or comments, please send your email to: </t>
  </si>
  <si>
    <t>Escalcs@cadmusgroup.com</t>
  </si>
  <si>
    <t>Gas Rate ($/therm)</t>
  </si>
  <si>
    <t>Water cost</t>
  </si>
  <si>
    <t>Gas cost</t>
  </si>
  <si>
    <t>Electricity costs</t>
  </si>
  <si>
    <t>Electricity consumption (kWh)</t>
  </si>
  <si>
    <t>Electricity cost</t>
  </si>
  <si>
    <t>Operating costs (electricity, water, and maintenance)</t>
  </si>
  <si>
    <t>Life cycle electricity saved (kWh)</t>
  </si>
  <si>
    <t>Carbon Dioxide Equivalents</t>
  </si>
  <si>
    <t>EPA 2006</t>
  </si>
  <si>
    <t>Commercial Electricity Price</t>
  </si>
  <si>
    <t>Water Rate per 1000 Gallons</t>
  </si>
  <si>
    <t>Commercial Gas Price</t>
  </si>
  <si>
    <t xml:space="preserve">      </t>
  </si>
  <si>
    <t>Type of Dishwasher</t>
  </si>
  <si>
    <t>Gallons</t>
  </si>
  <si>
    <t>Water Use per Rack</t>
  </si>
  <si>
    <t>Gas Carbon Emission Factors</t>
  </si>
  <si>
    <t>Typical Product Lifetime</t>
  </si>
  <si>
    <t>Yrs</t>
  </si>
  <si>
    <t>LBNL 2007</t>
  </si>
  <si>
    <r>
      <t>lbs CO</t>
    </r>
    <r>
      <rPr>
        <vertAlign val="subscript"/>
        <sz val="10"/>
        <rFont val="Univers"/>
        <family val="2"/>
      </rPr>
      <t>2</t>
    </r>
    <r>
      <rPr>
        <sz val="10"/>
        <rFont val="Univers"/>
        <family val="2"/>
      </rPr>
      <t>/MMBtu</t>
    </r>
  </si>
  <si>
    <t>Assumptions for Commercial Dishwashers</t>
  </si>
  <si>
    <t>Energy Unit Conversion</t>
  </si>
  <si>
    <t>1 Therm=</t>
  </si>
  <si>
    <t>Building Water Heater</t>
  </si>
  <si>
    <t>Gas Water Heater</t>
  </si>
  <si>
    <t>Efficiency</t>
  </si>
  <si>
    <t>Electric Water Heater</t>
  </si>
  <si>
    <t>Temperature Increase of Inlet Water</t>
  </si>
  <si>
    <t>Booster Water Heater (if Included)</t>
  </si>
  <si>
    <t>deg Farenheit</t>
  </si>
  <si>
    <t>Usage Patterns</t>
  </si>
  <si>
    <t>Typical Hours per Day</t>
  </si>
  <si>
    <t>hours</t>
  </si>
  <si>
    <t>Annual Operating Days</t>
  </si>
  <si>
    <t>days</t>
  </si>
  <si>
    <t>kW</t>
  </si>
  <si>
    <t>Specific Heat of Water</t>
  </si>
  <si>
    <t>Density of Water</t>
  </si>
  <si>
    <t>BTU/lb-degF</t>
  </si>
  <si>
    <t>Fundamentals of Thermal Fluid Scinece, Table A-15E, 70 degrees</t>
  </si>
  <si>
    <t>Racks Washed per Day</t>
  </si>
  <si>
    <t>Annual Water Use</t>
  </si>
  <si>
    <t>Idle Power Draw</t>
  </si>
  <si>
    <t>Calculated</t>
  </si>
  <si>
    <t>FSTC, 2007</t>
  </si>
  <si>
    <t>Gas</t>
  </si>
  <si>
    <t>Electric</t>
  </si>
  <si>
    <t>Building Hot Water Heater Consumption per Gallon of Water</t>
  </si>
  <si>
    <t>lbs/Gallon</t>
  </si>
  <si>
    <t>Booster Hot Water Heater Consumption per Gallon of Water</t>
  </si>
  <si>
    <t>Building Hot Water Fuel Type</t>
  </si>
  <si>
    <t>Booster Water Heater Fuel Type</t>
  </si>
  <si>
    <t>Note that low temperature units do not inclue a booster heater</t>
  </si>
  <si>
    <t>Selected</t>
  </si>
  <si>
    <t>Assumption</t>
  </si>
  <si>
    <t>Dishwasher Type Lookup Table</t>
  </si>
  <si>
    <t>Under Counter, Low Temp</t>
  </si>
  <si>
    <t>Under Counter, High Temp</t>
  </si>
  <si>
    <t>Door Type, Low Temp</t>
  </si>
  <si>
    <t>Door Type, High Temp</t>
  </si>
  <si>
    <t>Single Tank Conveyor, Low Temp</t>
  </si>
  <si>
    <t>Single Tank Conveyor, High Temp</t>
  </si>
  <si>
    <t>Multi Tank Conveyor, Low Temp</t>
  </si>
  <si>
    <t>Multi Tank Conveyor, High Temp</t>
  </si>
  <si>
    <t>Elec UEC</t>
  </si>
  <si>
    <t>Gas UEC</t>
  </si>
  <si>
    <t>Gal/Yr</t>
  </si>
  <si>
    <t>Typical Wash Time</t>
  </si>
  <si>
    <t>Min/Rack</t>
  </si>
  <si>
    <t>Annual Idle Energy Consumption</t>
  </si>
  <si>
    <t>Annual Building Water Heater Energy Consumtion</t>
  </si>
  <si>
    <t>Annual Booster Heater Energy Consumption</t>
  </si>
  <si>
    <t>ENERGY STAR Qualified Models</t>
  </si>
  <si>
    <t>ENERGY STAR Specification</t>
  </si>
  <si>
    <t>Conventional</t>
  </si>
  <si>
    <t>Price</t>
  </si>
  <si>
    <t>Therm</t>
  </si>
  <si>
    <t>Lifetime</t>
  </si>
  <si>
    <t>Industry Data 2007</t>
  </si>
  <si>
    <t>Cengel &amp; Turner, Fundamentals of Thermal Fluid Science, Table A-15E, 140 degrees</t>
  </si>
  <si>
    <t>Note: These tables are used to control some features of the calculator.  Changes made here may cause the calculator to cease functioning properly.</t>
  </si>
  <si>
    <t>1 kWh=</t>
  </si>
  <si>
    <t>BTU</t>
  </si>
  <si>
    <t>MMTBU</t>
  </si>
  <si>
    <t>Racks</t>
  </si>
  <si>
    <t>Last updated: 02/08</t>
  </si>
  <si>
    <t>EIA 2007</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</si>
</sst>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quot;$&quot;#,##0.000_);[Red]\(&quot;$&quot;#,##0.000\)"/>
    <numFmt numFmtId="166" formatCode="&quot;$&quot;#,##0;[Red]&quot;$&quot;#,##0"/>
    <numFmt numFmtId="167" formatCode="&quot;$&quot;#,##0"/>
    <numFmt numFmtId="168" formatCode="#,##0.0"/>
    <numFmt numFmtId="169" formatCode="0.0"/>
    <numFmt numFmtId="170" formatCode="_(* #,##0_);_(* \(#,##0\);_(* &quot;-&quot;??_);_(@_)"/>
    <numFmt numFmtId="171" formatCode="&quot;$&quot;#,##0.00"/>
    <numFmt numFmtId="172" formatCode="&quot;$&quot;#,##0.0"/>
    <numFmt numFmtId="173" formatCode="0.0%"/>
    <numFmt numFmtId="174" formatCode="#,##0.000"/>
    <numFmt numFmtId="175" formatCode="#,##0.0;[Red]#,##0.0"/>
    <numFmt numFmtId="176" formatCode="#,##0.00;[Red]#,##0.00"/>
    <numFmt numFmtId="177" formatCode="&quot;$&quot;#,##0.000"/>
    <numFmt numFmtId="178" formatCode="#,##0.000;[Red]#,##0.000"/>
    <numFmt numFmtId="179" formatCode="0.000"/>
    <numFmt numFmtId="180" formatCode="0.000000"/>
    <numFmt numFmtId="181" formatCode="0.00000"/>
    <numFmt numFmtId="182" formatCode="0.0000"/>
  </numFmts>
  <fonts count="43">
    <font>
      <sz val="10"/>
      <name val="Arial"/>
      <family val="0"/>
    </font>
    <font>
      <sz val="10"/>
      <name val="Univers"/>
      <family val="2"/>
    </font>
    <font>
      <i/>
      <sz val="10"/>
      <name val="Univers"/>
      <family val="2"/>
    </font>
    <font>
      <b/>
      <sz val="10"/>
      <name val="Univers"/>
      <family val="2"/>
    </font>
    <font>
      <vertAlign val="superscript"/>
      <sz val="10"/>
      <name val="Univers"/>
      <family val="2"/>
    </font>
    <font>
      <vertAlign val="subscript"/>
      <sz val="10"/>
      <name val="Univers"/>
      <family val="2"/>
    </font>
    <font>
      <b/>
      <sz val="10"/>
      <color indexed="48"/>
      <name val="Univers"/>
      <family val="2"/>
    </font>
    <font>
      <i/>
      <sz val="10"/>
      <name val="Times New Roman"/>
      <family val="1"/>
    </font>
    <font>
      <b/>
      <u val="single"/>
      <sz val="10"/>
      <name val="Univers"/>
      <family val="2"/>
    </font>
    <font>
      <b/>
      <sz val="12"/>
      <name val="Univers"/>
      <family val="2"/>
    </font>
    <font>
      <b/>
      <sz val="11"/>
      <name val="Univers"/>
      <family val="2"/>
    </font>
    <font>
      <b/>
      <sz val="14"/>
      <color indexed="48"/>
      <name val="Univers"/>
      <family val="2"/>
    </font>
    <font>
      <b/>
      <sz val="12"/>
      <color indexed="48"/>
      <name val="Univers"/>
      <family val="2"/>
    </font>
    <font>
      <b/>
      <u val="single"/>
      <sz val="11"/>
      <name val="Univers"/>
      <family val="2"/>
    </font>
    <font>
      <b/>
      <vertAlign val="superscript"/>
      <sz val="11"/>
      <name val="Univers"/>
      <family val="2"/>
    </font>
    <font>
      <sz val="9"/>
      <name val="Univers"/>
      <family val="2"/>
    </font>
    <font>
      <vertAlign val="superscript"/>
      <sz val="9"/>
      <name val="Univers"/>
      <family val="2"/>
    </font>
    <font>
      <i/>
      <sz val="9"/>
      <name val="Univers"/>
      <family val="2"/>
    </font>
    <font>
      <b/>
      <sz val="12"/>
      <color indexed="9"/>
      <name val="Univers"/>
      <family val="2"/>
    </font>
    <font>
      <sz val="10"/>
      <color indexed="9"/>
      <name val="Univers"/>
      <family val="2"/>
    </font>
    <font>
      <u val="single"/>
      <sz val="10"/>
      <color indexed="12"/>
      <name val="Univers"/>
      <family val="2"/>
    </font>
    <font>
      <u val="single"/>
      <sz val="10"/>
      <color indexed="12"/>
      <name val="Arial"/>
      <family val="2"/>
    </font>
    <font>
      <sz val="10"/>
      <color indexed="10"/>
      <name val="Univers"/>
      <family val="2"/>
    </font>
    <font>
      <u val="single"/>
      <sz val="10"/>
      <color indexed="36"/>
      <name val="Arial"/>
      <family val="2"/>
    </font>
    <font>
      <sz val="12"/>
      <name val="Univer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medium"/>
      <right style="medium"/>
      <top style="medium"/>
      <bottom style="medium"/>
    </border>
    <border>
      <left style="medium"/>
      <right style="medium"/>
      <top>
        <color indexed="63"/>
      </top>
      <bottom style="medium"/>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3" borderId="0" applyNumberFormat="0" applyBorder="0" applyAlignment="0" applyProtection="0"/>
    <xf numFmtId="0" fontId="28" fillId="20" borderId="1" applyNumberFormat="0" applyAlignment="0" applyProtection="0"/>
    <xf numFmtId="0" fontId="2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23" fillId="0" borderId="0" applyNumberFormat="0" applyFill="0" applyBorder="0" applyAlignment="0" applyProtection="0"/>
    <xf numFmtId="0" fontId="31" fillId="4"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21" fillId="0" borderId="0" applyNumberFormat="0" applyFill="0" applyBorder="0" applyAlignment="0" applyProtection="0"/>
    <xf numFmtId="0" fontId="35" fillId="7" borderId="1" applyNumberFormat="0" applyAlignment="0" applyProtection="0"/>
    <xf numFmtId="0" fontId="36" fillId="0" borderId="6" applyNumberFormat="0" applyFill="0" applyAlignment="0" applyProtection="0"/>
    <xf numFmtId="0" fontId="37" fillId="22" borderId="0" applyNumberFormat="0" applyBorder="0" applyAlignment="0" applyProtection="0"/>
    <xf numFmtId="0" fontId="0" fillId="23" borderId="7" applyNumberFormat="0" applyFont="0" applyAlignment="0" applyProtection="0"/>
    <xf numFmtId="0" fontId="38" fillId="20"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05">
    <xf numFmtId="0" fontId="0" fillId="0" borderId="0" xfId="0" applyAlignment="1">
      <alignment/>
    </xf>
    <xf numFmtId="0" fontId="1" fillId="0" borderId="0" xfId="0" applyFont="1" applyAlignment="1" applyProtection="1">
      <alignment/>
      <protection/>
    </xf>
    <xf numFmtId="0" fontId="2" fillId="0" borderId="0" xfId="0" applyFont="1" applyAlignment="1">
      <alignment horizontal="left" wrapText="1"/>
    </xf>
    <xf numFmtId="0" fontId="2" fillId="0" borderId="0" xfId="0" applyFont="1" applyAlignment="1" applyProtection="1">
      <alignment/>
      <protection/>
    </xf>
    <xf numFmtId="0" fontId="1" fillId="7" borderId="10" xfId="0" applyFont="1" applyFill="1" applyBorder="1" applyAlignment="1" applyProtection="1">
      <alignment/>
      <protection/>
    </xf>
    <xf numFmtId="0" fontId="1" fillId="7" borderId="11" xfId="0" applyFont="1" applyFill="1" applyBorder="1" applyAlignment="1" applyProtection="1">
      <alignment/>
      <protection/>
    </xf>
    <xf numFmtId="0" fontId="3" fillId="7" borderId="0" xfId="0" applyFont="1" applyFill="1" applyBorder="1" applyAlignment="1" applyProtection="1">
      <alignment horizontal="right"/>
      <protection/>
    </xf>
    <xf numFmtId="0" fontId="1" fillId="7" borderId="0" xfId="0" applyFont="1" applyFill="1" applyBorder="1" applyAlignment="1" applyProtection="1">
      <alignment/>
      <protection/>
    </xf>
    <xf numFmtId="0" fontId="1" fillId="7" borderId="12" xfId="0" applyFont="1" applyFill="1" applyBorder="1" applyAlignment="1" applyProtection="1">
      <alignment/>
      <protection/>
    </xf>
    <xf numFmtId="0" fontId="1" fillId="0" borderId="0" xfId="0" applyFont="1" applyAlignment="1" applyProtection="1">
      <alignment horizontal="right"/>
      <protection/>
    </xf>
    <xf numFmtId="0" fontId="1" fillId="7" borderId="11" xfId="0" applyFont="1" applyFill="1" applyBorder="1" applyAlignment="1" applyProtection="1">
      <alignment horizontal="left"/>
      <protection/>
    </xf>
    <xf numFmtId="0" fontId="1" fillId="7" borderId="11" xfId="0" applyFont="1" applyFill="1" applyBorder="1" applyAlignment="1" applyProtection="1">
      <alignment horizontal="left" indent="2"/>
      <protection/>
    </xf>
    <xf numFmtId="9" fontId="1" fillId="7" borderId="0" xfId="0" applyNumberFormat="1" applyFont="1" applyFill="1" applyBorder="1" applyAlignment="1" applyProtection="1">
      <alignment/>
      <protection locked="0"/>
    </xf>
    <xf numFmtId="166" fontId="1" fillId="7" borderId="0" xfId="0" applyNumberFormat="1" applyFont="1" applyFill="1" applyBorder="1" applyAlignment="1" applyProtection="1">
      <alignment/>
      <protection/>
    </xf>
    <xf numFmtId="166" fontId="1" fillId="7" borderId="0" xfId="0" applyNumberFormat="1" applyFont="1" applyFill="1" applyBorder="1" applyAlignment="1" applyProtection="1">
      <alignment/>
      <protection locked="0"/>
    </xf>
    <xf numFmtId="0" fontId="1" fillId="7" borderId="13" xfId="0" applyFont="1" applyFill="1" applyBorder="1" applyAlignment="1" applyProtection="1">
      <alignment/>
      <protection/>
    </xf>
    <xf numFmtId="0" fontId="1" fillId="7" borderId="14" xfId="0" applyFont="1" applyFill="1" applyBorder="1" applyAlignment="1" applyProtection="1">
      <alignment/>
      <protection/>
    </xf>
    <xf numFmtId="0" fontId="1" fillId="7" borderId="15" xfId="0" applyFont="1" applyFill="1" applyBorder="1" applyAlignment="1" applyProtection="1">
      <alignment/>
      <protection/>
    </xf>
    <xf numFmtId="0" fontId="1" fillId="4" borderId="16" xfId="0" applyFont="1" applyFill="1" applyBorder="1" applyAlignment="1" applyProtection="1">
      <alignment/>
      <protection/>
    </xf>
    <xf numFmtId="0" fontId="1" fillId="4" borderId="10" xfId="0" applyFont="1" applyFill="1" applyBorder="1" applyAlignment="1" applyProtection="1">
      <alignment/>
      <protection/>
    </xf>
    <xf numFmtId="0" fontId="1" fillId="4" borderId="0" xfId="0" applyFont="1" applyFill="1" applyBorder="1" applyAlignment="1" applyProtection="1">
      <alignment/>
      <protection/>
    </xf>
    <xf numFmtId="0" fontId="1" fillId="4" borderId="12" xfId="0" applyFont="1" applyFill="1" applyBorder="1" applyAlignment="1" applyProtection="1">
      <alignment/>
      <protection/>
    </xf>
    <xf numFmtId="0" fontId="1" fillId="4" borderId="11" xfId="0" applyFont="1" applyFill="1" applyBorder="1" applyAlignment="1" applyProtection="1">
      <alignment/>
      <protection/>
    </xf>
    <xf numFmtId="167" fontId="1" fillId="4" borderId="0" xfId="0" applyNumberFormat="1" applyFont="1" applyFill="1" applyBorder="1" applyAlignment="1" applyProtection="1">
      <alignment/>
      <protection/>
    </xf>
    <xf numFmtId="0" fontId="1" fillId="4" borderId="11" xfId="0" applyFont="1" applyFill="1" applyBorder="1" applyAlignment="1" applyProtection="1">
      <alignment horizontal="left" indent="1"/>
      <protection/>
    </xf>
    <xf numFmtId="3" fontId="1" fillId="4" borderId="0" xfId="0" applyNumberFormat="1" applyFont="1" applyFill="1" applyBorder="1" applyAlignment="1" applyProtection="1">
      <alignment/>
      <protection/>
    </xf>
    <xf numFmtId="37" fontId="1" fillId="4" borderId="0" xfId="0" applyNumberFormat="1" applyFont="1" applyFill="1" applyBorder="1" applyAlignment="1" applyProtection="1">
      <alignment/>
      <protection/>
    </xf>
    <xf numFmtId="0" fontId="3" fillId="4" borderId="0" xfId="0" applyFont="1" applyFill="1" applyBorder="1" applyAlignment="1" applyProtection="1">
      <alignment/>
      <protection/>
    </xf>
    <xf numFmtId="0" fontId="3" fillId="4" borderId="12" xfId="0" applyFont="1" applyFill="1" applyBorder="1" applyAlignment="1" applyProtection="1">
      <alignment/>
      <protection/>
    </xf>
    <xf numFmtId="0" fontId="3" fillId="0" borderId="0" xfId="0" applyFont="1" applyAlignment="1" applyProtection="1">
      <alignment/>
      <protection/>
    </xf>
    <xf numFmtId="0" fontId="1" fillId="4" borderId="11" xfId="0" applyFont="1" applyFill="1" applyBorder="1" applyAlignment="1" applyProtection="1">
      <alignment horizontal="right"/>
      <protection/>
    </xf>
    <xf numFmtId="0" fontId="1" fillId="4" borderId="13" xfId="0" applyFont="1" applyFill="1" applyBorder="1" applyAlignment="1" applyProtection="1">
      <alignment/>
      <protection/>
    </xf>
    <xf numFmtId="0" fontId="1" fillId="4" borderId="14" xfId="0" applyFont="1" applyFill="1" applyBorder="1" applyAlignment="1" applyProtection="1">
      <alignment/>
      <protection/>
    </xf>
    <xf numFmtId="0" fontId="1" fillId="4" borderId="15" xfId="0" applyFont="1" applyFill="1" applyBorder="1" applyAlignment="1" applyProtection="1">
      <alignment/>
      <protection/>
    </xf>
    <xf numFmtId="0" fontId="1" fillId="22" borderId="16" xfId="0" applyFont="1" applyFill="1" applyBorder="1" applyAlignment="1" applyProtection="1">
      <alignment/>
      <protection/>
    </xf>
    <xf numFmtId="0" fontId="1" fillId="22" borderId="17" xfId="0" applyFont="1" applyFill="1" applyBorder="1" applyAlignment="1" applyProtection="1">
      <alignment/>
      <protection/>
    </xf>
    <xf numFmtId="0" fontId="1" fillId="22" borderId="10" xfId="0" applyFont="1" applyFill="1" applyBorder="1" applyAlignment="1" applyProtection="1">
      <alignment/>
      <protection/>
    </xf>
    <xf numFmtId="0" fontId="1" fillId="22" borderId="11" xfId="0" applyFont="1" applyFill="1" applyBorder="1" applyAlignment="1" applyProtection="1">
      <alignment horizontal="left"/>
      <protection/>
    </xf>
    <xf numFmtId="0" fontId="1" fillId="22" borderId="14" xfId="0" applyFont="1" applyFill="1" applyBorder="1" applyAlignment="1" applyProtection="1">
      <alignment/>
      <protection/>
    </xf>
    <xf numFmtId="0" fontId="1" fillId="22" borderId="15" xfId="0" applyFont="1" applyFill="1" applyBorder="1" applyAlignment="1" applyProtection="1">
      <alignment/>
      <protection/>
    </xf>
    <xf numFmtId="0" fontId="1" fillId="0" borderId="0" xfId="0" applyFont="1" applyFill="1" applyAlignment="1" applyProtection="1">
      <alignment/>
      <protection/>
    </xf>
    <xf numFmtId="0" fontId="1" fillId="4" borderId="11" xfId="0" applyFont="1" applyFill="1" applyBorder="1" applyAlignment="1" applyProtection="1">
      <alignment/>
      <protection/>
    </xf>
    <xf numFmtId="0" fontId="6" fillId="0" borderId="0" xfId="0" applyFont="1" applyAlignment="1">
      <alignment horizontal="center" wrapText="1"/>
    </xf>
    <xf numFmtId="0" fontId="2" fillId="7" borderId="16" xfId="0" applyFont="1" applyFill="1" applyBorder="1" applyAlignment="1" applyProtection="1">
      <alignment/>
      <protection/>
    </xf>
    <xf numFmtId="0" fontId="3" fillId="7" borderId="17" xfId="0" applyFont="1" applyFill="1" applyBorder="1" applyAlignment="1" applyProtection="1">
      <alignment horizontal="center" wrapText="1"/>
      <protection/>
    </xf>
    <xf numFmtId="0" fontId="2" fillId="7" borderId="11" xfId="0" applyFont="1" applyFill="1" applyBorder="1" applyAlignment="1" applyProtection="1">
      <alignment/>
      <protection/>
    </xf>
    <xf numFmtId="0" fontId="3" fillId="7" borderId="0" xfId="0" applyFont="1" applyFill="1" applyBorder="1" applyAlignment="1" applyProtection="1">
      <alignment horizontal="center" wrapText="1"/>
      <protection/>
    </xf>
    <xf numFmtId="0" fontId="7" fillId="0" borderId="0" xfId="0" applyFont="1" applyAlignment="1" applyProtection="1">
      <alignment/>
      <protection/>
    </xf>
    <xf numFmtId="0" fontId="7" fillId="0" borderId="0" xfId="0" applyFont="1" applyAlignment="1" applyProtection="1">
      <alignment/>
      <protection/>
    </xf>
    <xf numFmtId="0" fontId="3" fillId="4" borderId="17" xfId="0" applyFont="1" applyFill="1" applyBorder="1" applyAlignment="1" applyProtection="1">
      <alignment horizontal="center" wrapText="1"/>
      <protection/>
    </xf>
    <xf numFmtId="0" fontId="8" fillId="4" borderId="11" xfId="0" applyFont="1" applyFill="1" applyBorder="1" applyAlignment="1" applyProtection="1">
      <alignment/>
      <protection/>
    </xf>
    <xf numFmtId="0" fontId="3" fillId="4" borderId="11" xfId="0" applyFont="1" applyFill="1" applyBorder="1" applyAlignment="1" applyProtection="1">
      <alignment/>
      <protection/>
    </xf>
    <xf numFmtId="167" fontId="3" fillId="4" borderId="17" xfId="0" applyNumberFormat="1" applyFont="1" applyFill="1" applyBorder="1" applyAlignment="1" applyProtection="1">
      <alignment/>
      <protection/>
    </xf>
    <xf numFmtId="167" fontId="3" fillId="4" borderId="0" xfId="0" applyNumberFormat="1" applyFont="1" applyFill="1" applyBorder="1" applyAlignment="1" applyProtection="1">
      <alignment/>
      <protection/>
    </xf>
    <xf numFmtId="0" fontId="4" fillId="0" borderId="0" xfId="0" applyFont="1" applyAlignment="1" applyProtection="1">
      <alignment horizontal="left"/>
      <protection/>
    </xf>
    <xf numFmtId="0" fontId="2" fillId="0" borderId="0" xfId="0" applyFont="1" applyFill="1" applyAlignment="1" applyProtection="1">
      <alignment/>
      <protection/>
    </xf>
    <xf numFmtId="0" fontId="1" fillId="22" borderId="0" xfId="0" applyFont="1" applyFill="1" applyBorder="1" applyAlignment="1" applyProtection="1">
      <alignment/>
      <protection/>
    </xf>
    <xf numFmtId="0" fontId="2" fillId="7" borderId="11" xfId="0" applyFont="1" applyFill="1" applyBorder="1" applyAlignment="1" applyProtection="1">
      <alignment horizontal="center"/>
      <protection/>
    </xf>
    <xf numFmtId="0" fontId="1" fillId="0" borderId="18" xfId="0" applyFont="1" applyFill="1" applyBorder="1" applyAlignment="1" applyProtection="1">
      <alignment/>
      <protection/>
    </xf>
    <xf numFmtId="0" fontId="1" fillId="0" borderId="0" xfId="0" applyFont="1" applyBorder="1" applyAlignment="1" applyProtection="1">
      <alignment/>
      <protection/>
    </xf>
    <xf numFmtId="0" fontId="1" fillId="0" borderId="0" xfId="0" applyFont="1" applyAlignment="1" applyProtection="1">
      <alignment/>
      <protection/>
    </xf>
    <xf numFmtId="0" fontId="9" fillId="0" borderId="0" xfId="0" applyFont="1" applyFill="1" applyBorder="1" applyAlignment="1" applyProtection="1">
      <alignment horizontal="center"/>
      <protection/>
    </xf>
    <xf numFmtId="0" fontId="1" fillId="0" borderId="0" xfId="0" applyFont="1" applyBorder="1" applyAlignment="1" applyProtection="1">
      <alignment/>
      <protection/>
    </xf>
    <xf numFmtId="0" fontId="1" fillId="0" borderId="18" xfId="0" applyFont="1" applyFill="1" applyBorder="1" applyAlignment="1" applyProtection="1">
      <alignment wrapText="1"/>
      <protection/>
    </xf>
    <xf numFmtId="0" fontId="1" fillId="0" borderId="0" xfId="0" applyFont="1" applyFill="1" applyBorder="1" applyAlignment="1" applyProtection="1">
      <alignment horizontal="right"/>
      <protection/>
    </xf>
    <xf numFmtId="0" fontId="1" fillId="0" borderId="0" xfId="0" applyFont="1" applyFill="1" applyBorder="1" applyAlignment="1" applyProtection="1">
      <alignment/>
      <protection/>
    </xf>
    <xf numFmtId="0" fontId="1" fillId="0" borderId="0" xfId="0" applyFont="1" applyFill="1" applyAlignment="1" applyProtection="1">
      <alignment/>
      <protection/>
    </xf>
    <xf numFmtId="0" fontId="1" fillId="0" borderId="0" xfId="0" applyFont="1" applyFill="1" applyAlignment="1" applyProtection="1">
      <alignment horizontal="right"/>
      <protection/>
    </xf>
    <xf numFmtId="0" fontId="1" fillId="0" borderId="0" xfId="0" applyFont="1" applyFill="1" applyAlignment="1" applyProtection="1">
      <alignment horizontal="left"/>
      <protection/>
    </xf>
    <xf numFmtId="0" fontId="13" fillId="4" borderId="11" xfId="0" applyFont="1" applyFill="1" applyBorder="1" applyAlignment="1" applyProtection="1">
      <alignment/>
      <protection/>
    </xf>
    <xf numFmtId="0" fontId="10" fillId="4" borderId="11" xfId="0" applyFont="1" applyFill="1" applyBorder="1" applyAlignment="1" applyProtection="1">
      <alignment/>
      <protection/>
    </xf>
    <xf numFmtId="171" fontId="1" fillId="7" borderId="14" xfId="0" applyNumberFormat="1" applyFont="1" applyFill="1" applyBorder="1" applyAlignment="1" applyProtection="1">
      <alignment horizontal="right"/>
      <protection/>
    </xf>
    <xf numFmtId="171" fontId="1" fillId="7" borderId="14" xfId="0" applyNumberFormat="1" applyFont="1" applyFill="1" applyBorder="1" applyAlignment="1" applyProtection="1">
      <alignment/>
      <protection/>
    </xf>
    <xf numFmtId="164" fontId="1" fillId="20" borderId="19" xfId="0" applyNumberFormat="1" applyFont="1" applyFill="1" applyBorder="1" applyAlignment="1" applyProtection="1">
      <alignment/>
      <protection locked="0"/>
    </xf>
    <xf numFmtId="2" fontId="1" fillId="22" borderId="11" xfId="0" applyNumberFormat="1" applyFont="1" applyFill="1" applyBorder="1" applyAlignment="1" applyProtection="1">
      <alignment horizontal="left" vertical="center"/>
      <protection/>
    </xf>
    <xf numFmtId="0" fontId="2" fillId="22" borderId="13" xfId="0" applyFont="1" applyFill="1" applyBorder="1" applyAlignment="1" applyProtection="1">
      <alignment/>
      <protection/>
    </xf>
    <xf numFmtId="0" fontId="3" fillId="7" borderId="0" xfId="0" applyFont="1" applyFill="1" applyBorder="1" applyAlignment="1" applyProtection="1">
      <alignment horizontal="center" vertical="center" wrapText="1"/>
      <protection/>
    </xf>
    <xf numFmtId="166" fontId="1" fillId="20" borderId="19" xfId="0" applyNumberFormat="1" applyFont="1" applyFill="1" applyBorder="1" applyAlignment="1" applyProtection="1">
      <alignment horizontal="right"/>
      <protection locked="0"/>
    </xf>
    <xf numFmtId="0" fontId="1" fillId="0" borderId="0" xfId="0" applyFont="1" applyFill="1" applyBorder="1" applyAlignment="1" applyProtection="1">
      <alignment horizontal="left"/>
      <protection/>
    </xf>
    <xf numFmtId="167" fontId="1" fillId="4" borderId="0" xfId="0" applyNumberFormat="1" applyFont="1" applyFill="1" applyBorder="1" applyAlignment="1" applyProtection="1">
      <alignment/>
      <protection/>
    </xf>
    <xf numFmtId="0" fontId="1" fillId="4" borderId="11" xfId="0" applyFont="1" applyFill="1" applyBorder="1" applyAlignment="1" applyProtection="1">
      <alignment horizontal="left"/>
      <protection/>
    </xf>
    <xf numFmtId="0" fontId="1" fillId="4" borderId="11" xfId="0" applyFont="1" applyFill="1" applyBorder="1" applyAlignment="1" applyProtection="1">
      <alignment horizontal="left"/>
      <protection/>
    </xf>
    <xf numFmtId="167" fontId="1" fillId="4" borderId="14" xfId="0" applyNumberFormat="1" applyFont="1" applyFill="1" applyBorder="1" applyAlignment="1" applyProtection="1">
      <alignment/>
      <protection/>
    </xf>
    <xf numFmtId="167" fontId="3" fillId="4" borderId="17" xfId="0" applyNumberFormat="1" applyFont="1" applyFill="1" applyBorder="1" applyAlignment="1" applyProtection="1">
      <alignment/>
      <protection/>
    </xf>
    <xf numFmtId="167" fontId="3" fillId="22" borderId="0" xfId="0" applyNumberFormat="1" applyFont="1" applyFill="1" applyBorder="1" applyAlignment="1" applyProtection="1">
      <alignment/>
      <protection/>
    </xf>
    <xf numFmtId="169" fontId="3" fillId="22" borderId="0" xfId="0" applyNumberFormat="1" applyFont="1" applyFill="1" applyBorder="1" applyAlignment="1" applyProtection="1">
      <alignment/>
      <protection/>
    </xf>
    <xf numFmtId="3" fontId="3" fillId="22" borderId="0" xfId="0" applyNumberFormat="1" applyFont="1" applyFill="1" applyBorder="1" applyAlignment="1" applyProtection="1">
      <alignment/>
      <protection/>
    </xf>
    <xf numFmtId="4" fontId="3" fillId="22" borderId="0" xfId="0" applyNumberFormat="1" applyFont="1" applyFill="1" applyBorder="1" applyAlignment="1" applyProtection="1">
      <alignment/>
      <protection/>
    </xf>
    <xf numFmtId="9" fontId="3" fillId="22" borderId="0" xfId="59" applyFont="1" applyFill="1" applyBorder="1" applyAlignment="1" applyProtection="1">
      <alignment/>
      <protection/>
    </xf>
    <xf numFmtId="167" fontId="3" fillId="22" borderId="12" xfId="0" applyNumberFormat="1" applyFont="1" applyFill="1" applyBorder="1" applyAlignment="1" applyProtection="1">
      <alignment/>
      <protection/>
    </xf>
    <xf numFmtId="169" fontId="3" fillId="22" borderId="12" xfId="0" applyNumberFormat="1" applyFont="1" applyFill="1" applyBorder="1" applyAlignment="1" applyProtection="1">
      <alignment/>
      <protection/>
    </xf>
    <xf numFmtId="3" fontId="3" fillId="22" borderId="12" xfId="0" applyNumberFormat="1" applyFont="1" applyFill="1" applyBorder="1" applyAlignment="1" applyProtection="1">
      <alignment/>
      <protection/>
    </xf>
    <xf numFmtId="4" fontId="3" fillId="22" borderId="12" xfId="0" applyNumberFormat="1" applyFont="1" applyFill="1" applyBorder="1" applyAlignment="1" applyProtection="1">
      <alignment/>
      <protection/>
    </xf>
    <xf numFmtId="9" fontId="3" fillId="22" borderId="12" xfId="59" applyFont="1" applyFill="1" applyBorder="1" applyAlignment="1" applyProtection="1">
      <alignment/>
      <protection/>
    </xf>
    <xf numFmtId="167" fontId="1" fillId="4" borderId="0" xfId="0" applyNumberFormat="1" applyFont="1" applyFill="1" applyBorder="1" applyAlignment="1" applyProtection="1">
      <alignment horizontal="right"/>
      <protection/>
    </xf>
    <xf numFmtId="0" fontId="2" fillId="4" borderId="11" xfId="0" applyFont="1" applyFill="1" applyBorder="1" applyAlignment="1" applyProtection="1">
      <alignment horizontal="left" indent="2"/>
      <protection/>
    </xf>
    <xf numFmtId="0" fontId="2" fillId="4" borderId="0" xfId="0" applyFont="1" applyFill="1" applyBorder="1" applyAlignment="1" applyProtection="1">
      <alignment/>
      <protection/>
    </xf>
    <xf numFmtId="3" fontId="2" fillId="4" borderId="0" xfId="0" applyNumberFormat="1" applyFont="1" applyFill="1" applyBorder="1" applyAlignment="1" applyProtection="1">
      <alignment horizontal="right" indent="1"/>
      <protection/>
    </xf>
    <xf numFmtId="3" fontId="2" fillId="4" borderId="0" xfId="0" applyNumberFormat="1" applyFont="1" applyFill="1" applyBorder="1" applyAlignment="1" applyProtection="1">
      <alignment/>
      <protection/>
    </xf>
    <xf numFmtId="0" fontId="2" fillId="4" borderId="12" xfId="0" applyFont="1" applyFill="1" applyBorder="1" applyAlignment="1" applyProtection="1">
      <alignment/>
      <protection/>
    </xf>
    <xf numFmtId="37" fontId="2" fillId="4" borderId="0" xfId="0" applyNumberFormat="1" applyFont="1" applyFill="1" applyBorder="1" applyAlignment="1" applyProtection="1">
      <alignment/>
      <protection/>
    </xf>
    <xf numFmtId="0" fontId="1" fillId="0" borderId="0" xfId="0" applyFont="1" applyBorder="1" applyAlignment="1" applyProtection="1">
      <alignment horizontal="left" indent="1"/>
      <protection/>
    </xf>
    <xf numFmtId="164" fontId="1" fillId="0" borderId="0" xfId="0" applyNumberFormat="1" applyFont="1" applyFill="1" applyBorder="1" applyAlignment="1" applyProtection="1">
      <alignment/>
      <protection/>
    </xf>
    <xf numFmtId="38" fontId="1" fillId="0" borderId="0" xfId="0" applyNumberFormat="1" applyFont="1" applyFill="1" applyBorder="1" applyAlignment="1" applyProtection="1">
      <alignment horizontal="left"/>
      <protection/>
    </xf>
    <xf numFmtId="0" fontId="3" fillId="0" borderId="0" xfId="0" applyFont="1" applyBorder="1" applyAlignment="1" applyProtection="1">
      <alignment horizontal="left"/>
      <protection/>
    </xf>
    <xf numFmtId="0" fontId="1" fillId="0" borderId="0" xfId="0" applyFont="1" applyFill="1" applyBorder="1" applyAlignment="1" applyProtection="1">
      <alignment horizontal="left" indent="1"/>
      <protection/>
    </xf>
    <xf numFmtId="167" fontId="1" fillId="0" borderId="0" xfId="0" applyNumberFormat="1" applyFont="1" applyFill="1" applyBorder="1" applyAlignment="1" applyProtection="1">
      <alignment horizontal="right"/>
      <protection/>
    </xf>
    <xf numFmtId="176" fontId="1" fillId="0" borderId="0" xfId="0" applyNumberFormat="1" applyFont="1" applyFill="1" applyBorder="1" applyAlignment="1" applyProtection="1">
      <alignment/>
      <protection/>
    </xf>
    <xf numFmtId="177" fontId="1" fillId="20" borderId="20" xfId="0" applyNumberFormat="1" applyFont="1" applyFill="1" applyBorder="1" applyAlignment="1" applyProtection="1">
      <alignment/>
      <protection locked="0"/>
    </xf>
    <xf numFmtId="0" fontId="19" fillId="0" borderId="0" xfId="0" applyFont="1" applyFill="1" applyBorder="1" applyAlignment="1" applyProtection="1">
      <alignment/>
      <protection/>
    </xf>
    <xf numFmtId="0" fontId="19" fillId="0" borderId="0" xfId="0" applyFont="1" applyFill="1" applyBorder="1" applyAlignment="1" applyProtection="1">
      <alignment horizontal="left" indent="1"/>
      <protection/>
    </xf>
    <xf numFmtId="0" fontId="18" fillId="0" borderId="0" xfId="0" applyFont="1" applyFill="1" applyBorder="1" applyAlignment="1" applyProtection="1">
      <alignment/>
      <protection/>
    </xf>
    <xf numFmtId="0" fontId="1" fillId="0" borderId="0" xfId="0" applyFont="1" applyFill="1" applyAlignment="1" applyProtection="1">
      <alignment horizontal="right"/>
      <protection/>
    </xf>
    <xf numFmtId="167" fontId="10" fillId="22" borderId="0" xfId="0" applyNumberFormat="1" applyFont="1" applyFill="1" applyBorder="1" applyAlignment="1" applyProtection="1">
      <alignment/>
      <protection/>
    </xf>
    <xf numFmtId="169" fontId="10" fillId="22" borderId="0" xfId="0" applyNumberFormat="1" applyFont="1" applyFill="1" applyBorder="1" applyAlignment="1" applyProtection="1">
      <alignment/>
      <protection/>
    </xf>
    <xf numFmtId="3" fontId="10" fillId="22" borderId="0" xfId="0" applyNumberFormat="1" applyFont="1" applyFill="1" applyBorder="1" applyAlignment="1" applyProtection="1">
      <alignment/>
      <protection/>
    </xf>
    <xf numFmtId="9" fontId="10" fillId="22" borderId="0" xfId="59" applyFont="1" applyFill="1" applyBorder="1" applyAlignment="1" applyProtection="1">
      <alignment/>
      <protection/>
    </xf>
    <xf numFmtId="0" fontId="22" fillId="0" borderId="0" xfId="0" applyFont="1" applyFill="1" applyBorder="1" applyAlignment="1" applyProtection="1">
      <alignment/>
      <protection/>
    </xf>
    <xf numFmtId="0" fontId="22" fillId="0" borderId="0" xfId="0" applyFont="1" applyFill="1" applyBorder="1" applyAlignment="1" applyProtection="1">
      <alignment horizontal="left"/>
      <protection/>
    </xf>
    <xf numFmtId="0" fontId="22" fillId="0" borderId="0" xfId="0" applyFont="1" applyFill="1" applyBorder="1" applyAlignment="1" applyProtection="1">
      <alignment horizontal="left" indent="1"/>
      <protection/>
    </xf>
    <xf numFmtId="167" fontId="22" fillId="0" borderId="0" xfId="0" applyNumberFormat="1" applyFont="1" applyFill="1" applyBorder="1" applyAlignment="1" applyProtection="1">
      <alignment horizontal="right"/>
      <protection/>
    </xf>
    <xf numFmtId="164" fontId="22" fillId="0" borderId="0" xfId="0" applyNumberFormat="1" applyFont="1" applyFill="1" applyBorder="1" applyAlignment="1" applyProtection="1">
      <alignment/>
      <protection/>
    </xf>
    <xf numFmtId="0" fontId="22" fillId="0" borderId="0" xfId="0" applyFont="1" applyFill="1" applyBorder="1" applyAlignment="1" applyProtection="1">
      <alignment horizontal="right"/>
      <protection/>
    </xf>
    <xf numFmtId="38" fontId="22" fillId="0" borderId="0" xfId="0" applyNumberFormat="1" applyFont="1" applyFill="1" applyBorder="1" applyAlignment="1" applyProtection="1">
      <alignment horizontal="left"/>
      <protection/>
    </xf>
    <xf numFmtId="176" fontId="22" fillId="0" borderId="0" xfId="0" applyNumberFormat="1" applyFont="1" applyFill="1" applyBorder="1" applyAlignment="1" applyProtection="1">
      <alignment/>
      <protection/>
    </xf>
    <xf numFmtId="0" fontId="0" fillId="0" borderId="0" xfId="0" applyFont="1" applyAlignment="1">
      <alignment horizontal="left"/>
    </xf>
    <xf numFmtId="0" fontId="3" fillId="0" borderId="18" xfId="0" applyFont="1" applyFill="1" applyBorder="1" applyAlignment="1" applyProtection="1">
      <alignment horizontal="left"/>
      <protection/>
    </xf>
    <xf numFmtId="0" fontId="1" fillId="0" borderId="18" xfId="0" applyFont="1" applyFill="1" applyBorder="1" applyAlignment="1" applyProtection="1">
      <alignment horizontal="left"/>
      <protection/>
    </xf>
    <xf numFmtId="0" fontId="1" fillId="0" borderId="18" xfId="0" applyFont="1" applyFill="1" applyBorder="1" applyAlignment="1" applyProtection="1">
      <alignment horizontal="left" indent="1"/>
      <protection/>
    </xf>
    <xf numFmtId="0" fontId="10" fillId="0" borderId="18" xfId="0" applyFont="1" applyFill="1" applyBorder="1" applyAlignment="1" applyProtection="1">
      <alignment/>
      <protection/>
    </xf>
    <xf numFmtId="0" fontId="1" fillId="0" borderId="21" xfId="0" applyFont="1" applyFill="1" applyBorder="1" applyAlignment="1" applyProtection="1">
      <alignment horizontal="left" indent="1"/>
      <protection/>
    </xf>
    <xf numFmtId="0" fontId="0" fillId="0" borderId="0" xfId="0" applyAlignment="1">
      <alignment/>
    </xf>
    <xf numFmtId="0" fontId="9" fillId="0" borderId="0" xfId="0" applyFont="1" applyBorder="1" applyAlignment="1" applyProtection="1">
      <alignment horizontal="center"/>
      <protection/>
    </xf>
    <xf numFmtId="0" fontId="1" fillId="0" borderId="0" xfId="0" applyFont="1" applyFill="1" applyBorder="1" applyAlignment="1" applyProtection="1">
      <alignment wrapText="1"/>
      <protection/>
    </xf>
    <xf numFmtId="1" fontId="0" fillId="0" borderId="0" xfId="0" applyNumberFormat="1" applyAlignment="1">
      <alignment/>
    </xf>
    <xf numFmtId="167" fontId="1" fillId="0" borderId="0" xfId="0" applyNumberFormat="1" applyFont="1" applyBorder="1" applyAlignment="1" applyProtection="1">
      <alignment/>
      <protection/>
    </xf>
    <xf numFmtId="3" fontId="1" fillId="0" borderId="0" xfId="0" applyNumberFormat="1" applyFont="1" applyBorder="1" applyAlignment="1" applyProtection="1">
      <alignment/>
      <protection/>
    </xf>
    <xf numFmtId="167" fontId="1" fillId="0" borderId="0" xfId="0" applyNumberFormat="1" applyFont="1" applyFill="1" applyBorder="1" applyAlignment="1" applyProtection="1">
      <alignment/>
      <protection/>
    </xf>
    <xf numFmtId="0" fontId="1" fillId="0" borderId="18" xfId="0" applyFont="1" applyFill="1" applyBorder="1" applyAlignment="1" applyProtection="1">
      <alignment horizontal="right"/>
      <protection/>
    </xf>
    <xf numFmtId="3" fontId="1" fillId="0" borderId="18" xfId="0" applyNumberFormat="1" applyFont="1" applyFill="1" applyBorder="1" applyAlignment="1" applyProtection="1">
      <alignment horizontal="right"/>
      <protection/>
    </xf>
    <xf numFmtId="0" fontId="1" fillId="0" borderId="22" xfId="0" applyFont="1" applyFill="1" applyBorder="1" applyAlignment="1" applyProtection="1">
      <alignment horizontal="left"/>
      <protection/>
    </xf>
    <xf numFmtId="9" fontId="1" fillId="0" borderId="18" xfId="0" applyNumberFormat="1" applyFont="1" applyFill="1" applyBorder="1" applyAlignment="1" applyProtection="1">
      <alignment horizontal="right"/>
      <protection/>
    </xf>
    <xf numFmtId="169" fontId="1" fillId="0" borderId="18" xfId="0" applyNumberFormat="1" applyFont="1" applyFill="1" applyBorder="1" applyAlignment="1" applyProtection="1">
      <alignment horizontal="right"/>
      <protection/>
    </xf>
    <xf numFmtId="169" fontId="1" fillId="0" borderId="18" xfId="0" applyNumberFormat="1" applyFont="1" applyFill="1" applyBorder="1" applyAlignment="1" applyProtection="1">
      <alignment horizontal="left"/>
      <protection/>
    </xf>
    <xf numFmtId="167" fontId="1" fillId="0" borderId="18" xfId="0" applyNumberFormat="1" applyFont="1" applyFill="1" applyBorder="1" applyAlignment="1" applyProtection="1">
      <alignment horizontal="right"/>
      <protection/>
    </xf>
    <xf numFmtId="9" fontId="1" fillId="0" borderId="18" xfId="0" applyNumberFormat="1" applyFont="1" applyFill="1" applyBorder="1" applyAlignment="1" applyProtection="1">
      <alignment vertical="top"/>
      <protection locked="0"/>
    </xf>
    <xf numFmtId="177" fontId="1" fillId="0" borderId="18" xfId="0" applyNumberFormat="1" applyFont="1" applyFill="1" applyBorder="1" applyAlignment="1" applyProtection="1">
      <alignment horizontal="right"/>
      <protection/>
    </xf>
    <xf numFmtId="171" fontId="1" fillId="0" borderId="18" xfId="0" applyNumberFormat="1" applyFont="1" applyFill="1" applyBorder="1" applyAlignment="1" applyProtection="1">
      <alignment horizontal="right"/>
      <protection/>
    </xf>
    <xf numFmtId="4" fontId="1" fillId="0" borderId="18" xfId="0" applyNumberFormat="1" applyFont="1" applyFill="1" applyBorder="1" applyAlignment="1" applyProtection="1">
      <alignment horizontal="right"/>
      <protection/>
    </xf>
    <xf numFmtId="3" fontId="1" fillId="0" borderId="21" xfId="0" applyNumberFormat="1" applyFont="1" applyFill="1" applyBorder="1" applyAlignment="1" applyProtection="1">
      <alignment horizontal="right"/>
      <protection/>
    </xf>
    <xf numFmtId="0" fontId="1" fillId="0" borderId="21" xfId="0" applyFont="1" applyFill="1" applyBorder="1" applyAlignment="1" applyProtection="1">
      <alignment horizontal="left"/>
      <protection/>
    </xf>
    <xf numFmtId="0" fontId="3" fillId="0" borderId="0" xfId="0" applyFont="1" applyFill="1" applyBorder="1" applyAlignment="1" applyProtection="1">
      <alignment/>
      <protection/>
    </xf>
    <xf numFmtId="0" fontId="1" fillId="0" borderId="0" xfId="0" applyFont="1" applyFill="1" applyAlignment="1" applyProtection="1">
      <alignment wrapText="1"/>
      <protection/>
    </xf>
    <xf numFmtId="0" fontId="9" fillId="0" borderId="12" xfId="0" applyFont="1" applyFill="1" applyBorder="1" applyAlignment="1" applyProtection="1">
      <alignment horizontal="center" wrapText="1"/>
      <protection/>
    </xf>
    <xf numFmtId="0" fontId="3" fillId="0" borderId="15" xfId="0" applyFont="1" applyFill="1" applyBorder="1" applyAlignment="1" applyProtection="1">
      <alignment wrapText="1"/>
      <protection/>
    </xf>
    <xf numFmtId="0" fontId="1" fillId="0" borderId="21" xfId="0" applyFont="1" applyFill="1" applyBorder="1" applyAlignment="1" applyProtection="1">
      <alignment wrapText="1"/>
      <protection/>
    </xf>
    <xf numFmtId="0" fontId="1" fillId="0" borderId="0" xfId="0" applyFont="1" applyFill="1" applyBorder="1" applyAlignment="1" applyProtection="1">
      <alignment horizontal="center"/>
      <protection/>
    </xf>
    <xf numFmtId="0" fontId="9" fillId="0" borderId="11" xfId="0" applyFont="1" applyFill="1" applyBorder="1" applyAlignment="1" applyProtection="1">
      <alignment horizontal="center"/>
      <protection/>
    </xf>
    <xf numFmtId="0" fontId="10" fillId="0" borderId="11" xfId="0" applyFont="1" applyFill="1" applyBorder="1" applyAlignment="1" applyProtection="1">
      <alignment/>
      <protection/>
    </xf>
    <xf numFmtId="0" fontId="3" fillId="0" borderId="18" xfId="0" applyFont="1" applyFill="1" applyBorder="1" applyAlignment="1" applyProtection="1">
      <alignment horizontal="left"/>
      <protection/>
    </xf>
    <xf numFmtId="0" fontId="3" fillId="0" borderId="18" xfId="0" applyFont="1" applyFill="1" applyBorder="1" applyAlignment="1" applyProtection="1">
      <alignment/>
      <protection/>
    </xf>
    <xf numFmtId="0" fontId="10" fillId="0" borderId="18" xfId="0" applyFont="1" applyFill="1" applyBorder="1" applyAlignment="1" applyProtection="1">
      <alignment horizontal="left"/>
      <protection/>
    </xf>
    <xf numFmtId="0" fontId="1" fillId="0" borderId="18" xfId="0" applyFont="1" applyFill="1" applyBorder="1" applyAlignment="1" applyProtection="1">
      <alignment horizontal="left" vertical="top" indent="1"/>
      <protection/>
    </xf>
    <xf numFmtId="0" fontId="1" fillId="0" borderId="0" xfId="0" applyFont="1" applyFill="1" applyBorder="1" applyAlignment="1" applyProtection="1">
      <alignment horizontal="left"/>
      <protection/>
    </xf>
    <xf numFmtId="0" fontId="20" fillId="0" borderId="0" xfId="53" applyFont="1" applyFill="1" applyAlignment="1" applyProtection="1">
      <alignment horizontal="left"/>
      <protection/>
    </xf>
    <xf numFmtId="0" fontId="1" fillId="0" borderId="0" xfId="0" applyFont="1" applyFill="1" applyBorder="1" applyAlignment="1" applyProtection="1">
      <alignment/>
      <protection/>
    </xf>
    <xf numFmtId="1" fontId="0" fillId="0" borderId="0" xfId="0" applyNumberFormat="1" applyFill="1" applyAlignment="1">
      <alignment/>
    </xf>
    <xf numFmtId="169" fontId="3" fillId="4" borderId="0" xfId="0" applyNumberFormat="1" applyFont="1" applyFill="1" applyBorder="1" applyAlignment="1" applyProtection="1">
      <alignment/>
      <protection/>
    </xf>
    <xf numFmtId="168" fontId="1" fillId="0" borderId="18" xfId="0" applyNumberFormat="1" applyFont="1" applyFill="1" applyBorder="1" applyAlignment="1" applyProtection="1">
      <alignment horizontal="right"/>
      <protection/>
    </xf>
    <xf numFmtId="0" fontId="0" fillId="0" borderId="0" xfId="0" applyFill="1" applyAlignment="1">
      <alignment/>
    </xf>
    <xf numFmtId="0" fontId="22" fillId="0" borderId="0" xfId="0" applyFont="1" applyFill="1" applyBorder="1" applyAlignment="1" applyProtection="1">
      <alignment horizontal="center"/>
      <protection/>
    </xf>
    <xf numFmtId="0" fontId="1" fillId="0" borderId="0" xfId="0" applyFont="1" applyBorder="1" applyAlignment="1" applyProtection="1">
      <alignment horizontal="center"/>
      <protection/>
    </xf>
    <xf numFmtId="182" fontId="1" fillId="0" borderId="0" xfId="0" applyNumberFormat="1" applyFont="1" applyBorder="1" applyAlignment="1" applyProtection="1">
      <alignment/>
      <protection/>
    </xf>
    <xf numFmtId="0" fontId="3" fillId="0" borderId="22" xfId="0" applyFont="1" applyFill="1" applyBorder="1" applyAlignment="1" applyProtection="1">
      <alignment horizontal="left"/>
      <protection/>
    </xf>
    <xf numFmtId="0" fontId="1" fillId="0" borderId="21" xfId="0" applyFont="1" applyFill="1" applyBorder="1" applyAlignment="1" applyProtection="1">
      <alignment horizontal="right"/>
      <protection/>
    </xf>
    <xf numFmtId="0" fontId="1" fillId="0" borderId="21" xfId="0" applyFont="1" applyFill="1" applyBorder="1" applyAlignment="1" applyProtection="1">
      <alignment/>
      <protection/>
    </xf>
    <xf numFmtId="0" fontId="1" fillId="20" borderId="18" xfId="0" applyFont="1" applyFill="1" applyBorder="1" applyAlignment="1" applyProtection="1">
      <alignment horizontal="left"/>
      <protection/>
    </xf>
    <xf numFmtId="0" fontId="1" fillId="20" borderId="18" xfId="0" applyFont="1" applyFill="1" applyBorder="1" applyAlignment="1" applyProtection="1">
      <alignment horizontal="right"/>
      <protection/>
    </xf>
    <xf numFmtId="0" fontId="1" fillId="20" borderId="18" xfId="0" applyFont="1" applyFill="1" applyBorder="1" applyAlignment="1" applyProtection="1">
      <alignment horizontal="left"/>
      <protection/>
    </xf>
    <xf numFmtId="0" fontId="1" fillId="20" borderId="18" xfId="0" applyFont="1" applyFill="1" applyBorder="1" applyAlignment="1" applyProtection="1">
      <alignment wrapText="1"/>
      <protection/>
    </xf>
    <xf numFmtId="0" fontId="0" fillId="20" borderId="18" xfId="0" applyFont="1" applyFill="1" applyBorder="1" applyAlignment="1">
      <alignment horizontal="left"/>
    </xf>
    <xf numFmtId="0" fontId="1" fillId="20" borderId="22" xfId="0" applyFont="1" applyFill="1" applyBorder="1" applyAlignment="1" applyProtection="1">
      <alignment horizontal="left"/>
      <protection/>
    </xf>
    <xf numFmtId="0" fontId="1" fillId="20" borderId="22" xfId="0" applyFont="1" applyFill="1" applyBorder="1" applyAlignment="1" applyProtection="1">
      <alignment horizontal="right"/>
      <protection/>
    </xf>
    <xf numFmtId="0" fontId="1" fillId="20" borderId="22" xfId="0" applyFont="1" applyFill="1" applyBorder="1" applyAlignment="1" applyProtection="1">
      <alignment horizontal="left"/>
      <protection/>
    </xf>
    <xf numFmtId="0" fontId="1" fillId="20" borderId="22" xfId="0" applyFont="1" applyFill="1" applyBorder="1" applyAlignment="1" applyProtection="1">
      <alignment wrapText="1"/>
      <protection/>
    </xf>
    <xf numFmtId="0" fontId="0" fillId="20" borderId="22" xfId="0" applyFont="1" applyFill="1" applyBorder="1" applyAlignment="1">
      <alignment horizontal="left"/>
    </xf>
    <xf numFmtId="0" fontId="21" fillId="0" borderId="0" xfId="53" applyFont="1" applyFill="1" applyAlignment="1" applyProtection="1">
      <alignment wrapText="1"/>
      <protection/>
    </xf>
    <xf numFmtId="0" fontId="1" fillId="0" borderId="18" xfId="0" applyFont="1" applyFill="1" applyBorder="1" applyAlignment="1" applyProtection="1">
      <alignment wrapText="1"/>
      <protection/>
    </xf>
    <xf numFmtId="0" fontId="16" fillId="0" borderId="0" xfId="0" applyFont="1" applyAlignment="1" applyProtection="1">
      <alignment horizontal="left"/>
      <protection/>
    </xf>
    <xf numFmtId="0" fontId="12" fillId="0" borderId="0" xfId="0" applyFont="1" applyAlignment="1">
      <alignment horizontal="center" wrapText="1"/>
    </xf>
    <xf numFmtId="0" fontId="10" fillId="4" borderId="23" xfId="0" applyFont="1" applyFill="1" applyBorder="1" applyAlignment="1" applyProtection="1">
      <alignment horizontal="center" wrapText="1"/>
      <protection/>
    </xf>
    <xf numFmtId="0" fontId="15" fillId="0" borderId="17" xfId="0" applyFont="1" applyBorder="1" applyAlignment="1" applyProtection="1">
      <alignment horizontal="left" wrapText="1"/>
      <protection/>
    </xf>
    <xf numFmtId="0" fontId="16" fillId="0" borderId="17" xfId="0" applyFont="1" applyBorder="1" applyAlignment="1" applyProtection="1">
      <alignment horizontal="left" wrapText="1"/>
      <protection/>
    </xf>
    <xf numFmtId="3" fontId="2" fillId="4" borderId="0" xfId="0" applyNumberFormat="1" applyFont="1" applyFill="1" applyBorder="1" applyAlignment="1" applyProtection="1">
      <alignment horizontal="right" indent="1"/>
      <protection/>
    </xf>
    <xf numFmtId="0" fontId="0" fillId="0" borderId="0" xfId="0" applyAlignment="1">
      <alignment horizontal="right" indent="1"/>
    </xf>
    <xf numFmtId="0" fontId="11" fillId="0" borderId="0" xfId="0" applyFont="1" applyAlignment="1">
      <alignment horizontal="center" wrapText="1"/>
    </xf>
    <xf numFmtId="0" fontId="1" fillId="0" borderId="0" xfId="0" applyFont="1" applyAlignment="1">
      <alignment horizontal="left" wrapText="1"/>
    </xf>
    <xf numFmtId="0" fontId="10" fillId="7" borderId="14" xfId="0" applyFont="1" applyFill="1" applyBorder="1" applyAlignment="1" applyProtection="1">
      <alignment horizontal="center" vertical="top" wrapText="1"/>
      <protection/>
    </xf>
    <xf numFmtId="0" fontId="3" fillId="7" borderId="0" xfId="0" applyFont="1" applyFill="1" applyBorder="1" applyAlignment="1" applyProtection="1">
      <alignment horizontal="center" wrapText="1"/>
      <protection/>
    </xf>
    <xf numFmtId="0" fontId="1" fillId="0" borderId="0" xfId="0" applyFont="1" applyFill="1" applyBorder="1" applyAlignment="1" applyProtection="1">
      <alignment horizontal="center"/>
      <protection/>
    </xf>
    <xf numFmtId="0" fontId="9" fillId="0" borderId="16" xfId="0" applyFont="1" applyFill="1" applyBorder="1" applyAlignment="1" applyProtection="1">
      <alignment horizontal="center"/>
      <protection/>
    </xf>
    <xf numFmtId="0" fontId="9" fillId="0" borderId="17" xfId="0" applyFont="1" applyFill="1" applyBorder="1" applyAlignment="1" applyProtection="1">
      <alignment horizontal="center"/>
      <protection/>
    </xf>
    <xf numFmtId="0" fontId="9" fillId="0" borderId="10" xfId="0" applyFont="1" applyFill="1" applyBorder="1" applyAlignment="1" applyProtection="1">
      <alignment horizontal="center"/>
      <protection/>
    </xf>
    <xf numFmtId="0" fontId="3" fillId="0" borderId="14" xfId="0" applyFont="1" applyFill="1" applyBorder="1" applyAlignment="1" applyProtection="1">
      <alignment horizontal="center"/>
      <protection/>
    </xf>
    <xf numFmtId="0" fontId="24" fillId="0" borderId="0" xfId="0" applyFont="1" applyFill="1" applyBorder="1" applyAlignment="1" applyProtection="1">
      <alignment horizont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0</xdr:colOff>
      <xdr:row>4</xdr:row>
      <xdr:rowOff>85725</xdr:rowOff>
    </xdr:to>
    <xdr:pic>
      <xdr:nvPicPr>
        <xdr:cNvPr id="1" name="Picture 1" descr="ES promo with VOA"/>
        <xdr:cNvPicPr preferRelativeResize="1">
          <a:picLocks noChangeAspect="1"/>
        </xdr:cNvPicPr>
      </xdr:nvPicPr>
      <xdr:blipFill>
        <a:blip r:embed="rId1"/>
        <a:stretch>
          <a:fillRect/>
        </a:stretch>
      </xdr:blipFill>
      <xdr:spPr>
        <a:xfrm>
          <a:off x="0" y="0"/>
          <a:ext cx="8029575"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Escalcs@cadmusgroup.com"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7:N72"/>
  <sheetViews>
    <sheetView tabSelected="1" zoomScale="85" zoomScaleNormal="85" zoomScalePageLayoutView="0" workbookViewId="0" topLeftCell="A1">
      <selection activeCell="G19" sqref="G19"/>
    </sheetView>
  </sheetViews>
  <sheetFormatPr defaultColWidth="9.140625" defaultRowHeight="12.75" outlineLevelRow="1"/>
  <cols>
    <col min="1" max="1" width="40.28125" style="1" customWidth="1"/>
    <col min="2" max="2" width="5.28125" style="1" customWidth="1"/>
    <col min="3" max="3" width="15.140625" style="1" customWidth="1"/>
    <col min="4" max="4" width="4.57421875" style="1" customWidth="1"/>
    <col min="5" max="5" width="4.7109375" style="1" customWidth="1"/>
    <col min="6" max="6" width="2.57421875" style="1" customWidth="1"/>
    <col min="7" max="7" width="14.7109375" style="1" customWidth="1"/>
    <col min="8" max="8" width="2.00390625" style="1" customWidth="1"/>
    <col min="9" max="9" width="4.7109375" style="1" customWidth="1"/>
    <col min="10" max="10" width="3.7109375" style="1" customWidth="1"/>
    <col min="11" max="11" width="16.28125" style="1" customWidth="1"/>
    <col min="12" max="12" width="3.421875" style="1" customWidth="1"/>
    <col min="13" max="13" width="3.00390625" style="1" customWidth="1"/>
    <col min="14" max="14" width="8.00390625" style="1" customWidth="1"/>
    <col min="15" max="16384" width="9.140625" style="1" customWidth="1"/>
  </cols>
  <sheetData>
    <row r="1" ht="15.75" customHeight="1"/>
    <row r="2" ht="15.75" customHeight="1"/>
    <row r="3" ht="15.75" customHeight="1"/>
    <row r="4" ht="15.75" customHeight="1"/>
    <row r="5" ht="15.75" customHeight="1"/>
    <row r="6" ht="15.75" customHeight="1"/>
    <row r="7" spans="1:13" ht="18">
      <c r="A7" s="195" t="s">
        <v>0</v>
      </c>
      <c r="B7" s="195"/>
      <c r="C7" s="195"/>
      <c r="D7" s="195"/>
      <c r="E7" s="195"/>
      <c r="F7" s="195"/>
      <c r="G7" s="195"/>
      <c r="H7" s="195"/>
      <c r="I7" s="195"/>
      <c r="J7" s="195"/>
      <c r="K7" s="195"/>
      <c r="L7" s="195"/>
      <c r="M7" s="195"/>
    </row>
    <row r="8" spans="1:13" ht="15.75" customHeight="1">
      <c r="A8" s="195" t="str">
        <f>""&amp;C16&amp;" ENERGY STAR Qualified Commercial Dishwasher(s)"</f>
        <v>20 ENERGY STAR Qualified Commercial Dishwasher(s)</v>
      </c>
      <c r="B8" s="195"/>
      <c r="C8" s="195"/>
      <c r="D8" s="195"/>
      <c r="E8" s="195"/>
      <c r="F8" s="195"/>
      <c r="G8" s="195"/>
      <c r="H8" s="195"/>
      <c r="I8" s="195"/>
      <c r="J8" s="195"/>
      <c r="K8" s="195"/>
      <c r="L8" s="195"/>
      <c r="M8" s="195"/>
    </row>
    <row r="9" spans="1:13" s="3" customFormat="1" ht="12.75">
      <c r="A9" s="2"/>
      <c r="B9" s="2"/>
      <c r="C9" s="2"/>
      <c r="D9" s="2"/>
      <c r="E9" s="2"/>
      <c r="F9" s="2"/>
      <c r="G9" s="2"/>
      <c r="H9" s="2"/>
      <c r="I9" s="2"/>
      <c r="J9" s="2"/>
      <c r="K9" s="2"/>
      <c r="L9" s="2"/>
      <c r="M9" s="2"/>
    </row>
    <row r="10" spans="1:13" ht="15.75" customHeight="1">
      <c r="A10" s="42"/>
      <c r="B10" s="42"/>
      <c r="C10" s="42"/>
      <c r="D10" s="42"/>
      <c r="E10" s="42"/>
      <c r="F10" s="42"/>
      <c r="G10" s="42"/>
      <c r="H10" s="42"/>
      <c r="I10" s="42"/>
      <c r="J10" s="42"/>
      <c r="K10" s="42"/>
      <c r="L10" s="42"/>
      <c r="M10" s="42"/>
    </row>
    <row r="11" spans="1:13" s="3" customFormat="1" ht="24" customHeight="1">
      <c r="A11" s="196" t="s">
        <v>35</v>
      </c>
      <c r="B11" s="196"/>
      <c r="C11" s="196"/>
      <c r="D11" s="196"/>
      <c r="E11" s="196"/>
      <c r="F11" s="196"/>
      <c r="G11" s="196"/>
      <c r="H11" s="196"/>
      <c r="I11" s="196"/>
      <c r="J11" s="196"/>
      <c r="K11" s="196"/>
      <c r="L11" s="196"/>
      <c r="M11" s="196"/>
    </row>
    <row r="12" spans="1:13" s="3" customFormat="1" ht="12.75">
      <c r="A12" s="2"/>
      <c r="B12" s="2"/>
      <c r="C12" s="2"/>
      <c r="D12" s="2"/>
      <c r="E12" s="2"/>
      <c r="F12" s="2"/>
      <c r="G12" s="2"/>
      <c r="H12" s="2"/>
      <c r="I12" s="2"/>
      <c r="J12" s="2"/>
      <c r="K12" s="2"/>
      <c r="L12" s="2"/>
      <c r="M12" s="2"/>
    </row>
    <row r="13" ht="15.75" customHeight="1">
      <c r="A13" s="29"/>
    </row>
    <row r="14" spans="1:13" ht="15.75">
      <c r="A14" s="189" t="s">
        <v>1</v>
      </c>
      <c r="B14" s="189"/>
      <c r="C14" s="189"/>
      <c r="D14" s="189"/>
      <c r="E14" s="189"/>
      <c r="F14" s="189"/>
      <c r="G14" s="189"/>
      <c r="H14" s="189"/>
      <c r="I14" s="189"/>
      <c r="J14" s="189"/>
      <c r="K14" s="189"/>
      <c r="L14" s="189"/>
      <c r="M14" s="189"/>
    </row>
    <row r="15" spans="1:13" ht="4.5" customHeight="1" thickBot="1">
      <c r="A15" s="43"/>
      <c r="B15" s="44"/>
      <c r="C15" s="44"/>
      <c r="D15" s="44"/>
      <c r="E15" s="44"/>
      <c r="F15" s="44"/>
      <c r="G15" s="44"/>
      <c r="H15" s="44"/>
      <c r="I15" s="44"/>
      <c r="J15" s="44"/>
      <c r="K15" s="44"/>
      <c r="L15" s="44"/>
      <c r="M15" s="4"/>
    </row>
    <row r="16" spans="1:14" ht="15.75" customHeight="1" thickBot="1">
      <c r="A16" s="5" t="s">
        <v>2</v>
      </c>
      <c r="B16" s="6"/>
      <c r="C16" s="73">
        <v>20</v>
      </c>
      <c r="D16" s="7"/>
      <c r="E16" s="7"/>
      <c r="F16" s="7"/>
      <c r="G16" s="7"/>
      <c r="H16" s="7"/>
      <c r="I16" s="7"/>
      <c r="J16" s="7"/>
      <c r="K16" s="7"/>
      <c r="L16" s="7"/>
      <c r="M16" s="8"/>
      <c r="N16" s="9"/>
    </row>
    <row r="17" spans="1:13" ht="15.75" customHeight="1" thickBot="1">
      <c r="A17" s="10" t="s">
        <v>46</v>
      </c>
      <c r="B17" s="6"/>
      <c r="C17" s="108">
        <f>Assumptions!B214</f>
        <v>0.09039</v>
      </c>
      <c r="D17" s="7"/>
      <c r="E17" s="7"/>
      <c r="F17" s="7"/>
      <c r="G17" s="7"/>
      <c r="H17" s="7"/>
      <c r="I17" s="7"/>
      <c r="J17" s="7"/>
      <c r="K17" s="7"/>
      <c r="L17" s="7"/>
      <c r="M17" s="8"/>
    </row>
    <row r="18" spans="1:13" ht="15.75" customHeight="1" thickBot="1">
      <c r="A18" s="10" t="s">
        <v>45</v>
      </c>
      <c r="B18" s="6"/>
      <c r="C18" s="108">
        <f>Assumptions!B215</f>
        <v>4.158</v>
      </c>
      <c r="D18" s="7"/>
      <c r="E18" s="7"/>
      <c r="F18" s="7"/>
      <c r="G18" s="7"/>
      <c r="H18" s="7"/>
      <c r="I18" s="7"/>
      <c r="J18" s="7"/>
      <c r="K18" s="7"/>
      <c r="L18" s="7"/>
      <c r="M18" s="8"/>
    </row>
    <row r="19" spans="1:13" ht="15.75" customHeight="1" thickBot="1">
      <c r="A19" s="10" t="s">
        <v>58</v>
      </c>
      <c r="B19" s="6"/>
      <c r="C19" s="108">
        <f>Assumptions!B216</f>
        <v>1.1712</v>
      </c>
      <c r="D19" s="7"/>
      <c r="E19" s="7"/>
      <c r="F19" s="7"/>
      <c r="G19" s="7"/>
      <c r="H19" s="7"/>
      <c r="I19" s="7"/>
      <c r="J19" s="7"/>
      <c r="K19" s="7"/>
      <c r="L19" s="7"/>
      <c r="M19" s="8"/>
    </row>
    <row r="20" spans="1:14" ht="15.75" customHeight="1">
      <c r="A20" s="10" t="s">
        <v>72</v>
      </c>
      <c r="B20" s="6"/>
      <c r="C20" s="12" t="s">
        <v>54</v>
      </c>
      <c r="D20" s="7"/>
      <c r="E20" s="7"/>
      <c r="F20" s="7"/>
      <c r="G20" s="7"/>
      <c r="H20" s="7"/>
      <c r="I20" s="7"/>
      <c r="J20" s="7"/>
      <c r="K20" s="7"/>
      <c r="L20" s="7"/>
      <c r="M20" s="8"/>
      <c r="N20" s="9"/>
    </row>
    <row r="21" spans="1:13" ht="21" customHeight="1">
      <c r="A21" s="10" t="s">
        <v>110</v>
      </c>
      <c r="B21" s="6"/>
      <c r="C21" s="7"/>
      <c r="D21" s="7"/>
      <c r="E21" s="7"/>
      <c r="F21" s="7"/>
      <c r="G21" s="7"/>
      <c r="H21" s="7"/>
      <c r="I21" s="7"/>
      <c r="J21" s="7"/>
      <c r="K21" s="7"/>
      <c r="L21" s="7"/>
      <c r="M21" s="8"/>
    </row>
    <row r="22" spans="1:13" ht="21.75" customHeight="1">
      <c r="A22" s="10" t="s">
        <v>111</v>
      </c>
      <c r="B22" s="6"/>
      <c r="C22" s="7"/>
      <c r="D22" s="7"/>
      <c r="E22" s="7" t="s">
        <v>112</v>
      </c>
      <c r="F22" s="7"/>
      <c r="G22" s="7"/>
      <c r="H22" s="7"/>
      <c r="I22" s="7"/>
      <c r="J22" s="7"/>
      <c r="K22" s="7"/>
      <c r="L22" s="7"/>
      <c r="M22" s="8"/>
    </row>
    <row r="23" spans="1:14" ht="6.75" customHeight="1">
      <c r="A23" s="11"/>
      <c r="B23" s="6"/>
      <c r="C23" s="12"/>
      <c r="D23" s="7"/>
      <c r="E23" s="7"/>
      <c r="F23" s="7"/>
      <c r="G23" s="7"/>
      <c r="H23" s="7"/>
      <c r="I23" s="7"/>
      <c r="J23" s="7"/>
      <c r="K23" s="7"/>
      <c r="L23" s="7"/>
      <c r="M23" s="8"/>
      <c r="N23" s="9"/>
    </row>
    <row r="24" spans="1:13" ht="32.25" customHeight="1">
      <c r="A24" s="57"/>
      <c r="B24" s="197" t="s">
        <v>3</v>
      </c>
      <c r="C24" s="197"/>
      <c r="D24" s="197"/>
      <c r="E24" s="46"/>
      <c r="F24" s="197" t="s">
        <v>4</v>
      </c>
      <c r="G24" s="197"/>
      <c r="H24" s="197"/>
      <c r="I24" s="46"/>
      <c r="J24" s="198"/>
      <c r="K24" s="198"/>
      <c r="L24" s="198"/>
      <c r="M24" s="8"/>
    </row>
    <row r="25" spans="1:13" ht="18.75" customHeight="1" thickBot="1">
      <c r="A25" s="45"/>
      <c r="B25" s="46"/>
      <c r="C25" s="46"/>
      <c r="D25" s="46"/>
      <c r="E25" s="46"/>
      <c r="F25" s="46"/>
      <c r="G25" s="76"/>
      <c r="H25" s="46"/>
      <c r="I25" s="46"/>
      <c r="J25" s="46"/>
      <c r="K25" s="46"/>
      <c r="L25" s="46"/>
      <c r="M25" s="8"/>
    </row>
    <row r="26" spans="1:13" ht="15.75" customHeight="1" thickBot="1">
      <c r="A26" s="5" t="s">
        <v>42</v>
      </c>
      <c r="B26" s="7"/>
      <c r="C26" s="77">
        <f>Assumptions!K13</f>
        <v>6000</v>
      </c>
      <c r="D26" s="13"/>
      <c r="E26" s="13"/>
      <c r="F26" s="13"/>
      <c r="G26" s="77">
        <f>Assumptions!O13</f>
        <v>5000</v>
      </c>
      <c r="H26" s="13"/>
      <c r="I26" s="13"/>
      <c r="J26" s="14"/>
      <c r="K26" s="7"/>
      <c r="L26" s="13"/>
      <c r="M26" s="8"/>
    </row>
    <row r="27" spans="1:13" ht="4.5" customHeight="1">
      <c r="A27" s="15"/>
      <c r="B27" s="16"/>
      <c r="C27" s="71"/>
      <c r="D27" s="16"/>
      <c r="E27" s="16"/>
      <c r="F27" s="16"/>
      <c r="G27" s="72"/>
      <c r="H27" s="16"/>
      <c r="I27" s="16"/>
      <c r="J27" s="16"/>
      <c r="K27" s="16"/>
      <c r="L27" s="16"/>
      <c r="M27" s="17"/>
    </row>
    <row r="28" ht="14.25" customHeight="1">
      <c r="A28" s="47"/>
    </row>
    <row r="29" ht="15.75" customHeight="1">
      <c r="A29" s="48"/>
    </row>
    <row r="30" spans="1:13" ht="15.75">
      <c r="A30" s="189" t="str">
        <f>"Annual and Life Cycle Costs and Savings for "&amp;C16&amp;" Commercial Dishwasher(s)"</f>
        <v>Annual and Life Cycle Costs and Savings for 20 Commercial Dishwasher(s)</v>
      </c>
      <c r="B30" s="189"/>
      <c r="C30" s="189"/>
      <c r="D30" s="189"/>
      <c r="E30" s="189"/>
      <c r="F30" s="189"/>
      <c r="G30" s="189"/>
      <c r="H30" s="189"/>
      <c r="I30" s="189"/>
      <c r="J30" s="189"/>
      <c r="K30" s="189"/>
      <c r="L30" s="189"/>
      <c r="M30" s="189"/>
    </row>
    <row r="31" spans="1:13" ht="31.5" customHeight="1">
      <c r="A31" s="18"/>
      <c r="B31" s="190" t="str">
        <f>""&amp;C16&amp;" ENERGY STAR Qualified Unit(s)"</f>
        <v>20 ENERGY STAR Qualified Unit(s)</v>
      </c>
      <c r="C31" s="190"/>
      <c r="D31" s="190"/>
      <c r="E31" s="49"/>
      <c r="F31" s="190" t="str">
        <f>""&amp;C16&amp;" Conventional Unit(s)"</f>
        <v>20 Conventional Unit(s)</v>
      </c>
      <c r="G31" s="190"/>
      <c r="H31" s="190"/>
      <c r="I31" s="49"/>
      <c r="J31" s="190" t="s">
        <v>5</v>
      </c>
      <c r="K31" s="190"/>
      <c r="L31" s="190"/>
      <c r="M31" s="19"/>
    </row>
    <row r="32" spans="1:13" ht="15.75" customHeight="1">
      <c r="A32" s="69" t="s">
        <v>28</v>
      </c>
      <c r="B32" s="20"/>
      <c r="C32" s="20"/>
      <c r="D32" s="20"/>
      <c r="E32" s="20"/>
      <c r="F32" s="20"/>
      <c r="G32" s="20"/>
      <c r="H32" s="20"/>
      <c r="I32" s="20"/>
      <c r="J32" s="20"/>
      <c r="K32" s="20"/>
      <c r="L32" s="20"/>
      <c r="M32" s="21"/>
    </row>
    <row r="33" spans="1:13" ht="15.75" customHeight="1">
      <c r="A33" s="22" t="s">
        <v>63</v>
      </c>
      <c r="B33" s="20"/>
      <c r="C33" s="94">
        <f>C34*C17</f>
        <v>889.7771199806666</v>
      </c>
      <c r="D33" s="20"/>
      <c r="E33" s="20"/>
      <c r="F33" s="20"/>
      <c r="G33" s="23">
        <f>G34*C17</f>
        <v>1555.83165722172</v>
      </c>
      <c r="H33" s="20"/>
      <c r="I33" s="20"/>
      <c r="J33" s="20"/>
      <c r="K33" s="23">
        <f aca="true" t="shared" si="0" ref="K33:K39">G33-C33</f>
        <v>666.0545372410534</v>
      </c>
      <c r="L33" s="20"/>
      <c r="M33" s="21"/>
    </row>
    <row r="34" spans="1:13" s="3" customFormat="1" ht="15.75" customHeight="1" hidden="1" outlineLevel="1">
      <c r="A34" s="95" t="s">
        <v>62</v>
      </c>
      <c r="B34" s="96"/>
      <c r="C34" s="97">
        <f>Assumptions!I13</f>
        <v>9843.75616750378</v>
      </c>
      <c r="D34" s="98"/>
      <c r="E34" s="98"/>
      <c r="F34" s="98"/>
      <c r="G34" s="97">
        <f>Assumptions!M13</f>
        <v>17212.431211657484</v>
      </c>
      <c r="H34" s="98"/>
      <c r="I34" s="98"/>
      <c r="J34" s="98"/>
      <c r="K34" s="97">
        <f t="shared" si="0"/>
        <v>7368.675044153704</v>
      </c>
      <c r="L34" s="98"/>
      <c r="M34" s="99"/>
    </row>
    <row r="35" spans="1:13" ht="15.75" customHeight="1" collapsed="1">
      <c r="A35" s="81" t="s">
        <v>59</v>
      </c>
      <c r="B35" s="20"/>
      <c r="C35" s="94">
        <f>C36*C18/1000</f>
        <v>112.26600000000002</v>
      </c>
      <c r="D35" s="25"/>
      <c r="E35" s="25"/>
      <c r="F35" s="25"/>
      <c r="G35" s="23">
        <f>G36*C18/1000</f>
        <v>222.28668000000002</v>
      </c>
      <c r="H35" s="25"/>
      <c r="I35" s="25"/>
      <c r="J35" s="25"/>
      <c r="K35" s="23">
        <f t="shared" si="0"/>
        <v>110.02068</v>
      </c>
      <c r="L35" s="25"/>
      <c r="M35" s="21"/>
    </row>
    <row r="36" spans="1:13" s="3" customFormat="1" ht="15.75" customHeight="1" hidden="1" outlineLevel="1">
      <c r="A36" s="95" t="s">
        <v>41</v>
      </c>
      <c r="B36" s="96"/>
      <c r="C36" s="97">
        <f>Assumptions!H13</f>
        <v>27000</v>
      </c>
      <c r="D36" s="98"/>
      <c r="E36" s="98"/>
      <c r="F36" s="98"/>
      <c r="G36" s="97">
        <f>Assumptions!L13</f>
        <v>53460</v>
      </c>
      <c r="H36" s="98"/>
      <c r="I36" s="98"/>
      <c r="J36" s="98"/>
      <c r="K36" s="97">
        <f t="shared" si="0"/>
        <v>26460</v>
      </c>
      <c r="L36" s="98"/>
      <c r="M36" s="99"/>
    </row>
    <row r="37" spans="1:13" ht="15.75" customHeight="1" collapsed="1">
      <c r="A37" s="81" t="s">
        <v>60</v>
      </c>
      <c r="B37" s="20"/>
      <c r="C37" s="94">
        <f>C38*C19</f>
        <v>0</v>
      </c>
      <c r="D37" s="25"/>
      <c r="E37" s="25"/>
      <c r="F37" s="25"/>
      <c r="G37" s="23">
        <f>G38*C19</f>
        <v>0</v>
      </c>
      <c r="H37" s="25"/>
      <c r="I37" s="25"/>
      <c r="J37" s="25"/>
      <c r="K37" s="23">
        <f t="shared" si="0"/>
        <v>0</v>
      </c>
      <c r="L37" s="25"/>
      <c r="M37" s="21"/>
    </row>
    <row r="38" spans="1:13" s="3" customFormat="1" ht="15.75" customHeight="1" hidden="1" outlineLevel="1">
      <c r="A38" s="95" t="s">
        <v>52</v>
      </c>
      <c r="B38" s="96"/>
      <c r="C38" s="97">
        <f>Assumptions!J13</f>
        <v>0</v>
      </c>
      <c r="D38" s="98"/>
      <c r="E38" s="98"/>
      <c r="F38" s="98"/>
      <c r="G38" s="97">
        <f>Assumptions!N13</f>
        <v>0</v>
      </c>
      <c r="H38" s="98"/>
      <c r="I38" s="98"/>
      <c r="J38" s="98"/>
      <c r="K38" s="97">
        <f t="shared" si="0"/>
        <v>0</v>
      </c>
      <c r="L38" s="98"/>
      <c r="M38" s="99"/>
    </row>
    <row r="39" spans="1:13" ht="15.75" customHeight="1" collapsed="1">
      <c r="A39" s="80" t="s">
        <v>6</v>
      </c>
      <c r="B39" s="20"/>
      <c r="C39" s="79">
        <f>C16*(Assumptions!B207*Assumptions!B208)</f>
        <v>0</v>
      </c>
      <c r="D39" s="20"/>
      <c r="E39" s="20"/>
      <c r="F39" s="20"/>
      <c r="G39" s="23">
        <f>C16*(Assumptions!B207*Assumptions!B208)</f>
        <v>0</v>
      </c>
      <c r="H39" s="20"/>
      <c r="I39" s="20"/>
      <c r="J39" s="20"/>
      <c r="K39" s="23">
        <f t="shared" si="0"/>
        <v>0</v>
      </c>
      <c r="L39" s="20"/>
      <c r="M39" s="21"/>
    </row>
    <row r="40" spans="1:13" s="29" customFormat="1" ht="15.75" customHeight="1">
      <c r="A40" s="70" t="s">
        <v>7</v>
      </c>
      <c r="B40" s="27"/>
      <c r="C40" s="52">
        <f>C33+C37+C39+C35</f>
        <v>1002.0431199806667</v>
      </c>
      <c r="D40" s="27"/>
      <c r="E40" s="27"/>
      <c r="F40" s="27"/>
      <c r="G40" s="52">
        <f>G33+G37+G39+G35</f>
        <v>1778.11833722172</v>
      </c>
      <c r="H40" s="27"/>
      <c r="I40" s="27"/>
      <c r="J40" s="27"/>
      <c r="K40" s="52">
        <f>K33+K37+K39+K35</f>
        <v>776.0752172410533</v>
      </c>
      <c r="L40" s="27"/>
      <c r="M40" s="28"/>
    </row>
    <row r="41" spans="1:13" ht="15.75" customHeight="1">
      <c r="A41" s="22"/>
      <c r="B41" s="20"/>
      <c r="C41" s="20"/>
      <c r="D41" s="20"/>
      <c r="E41" s="20"/>
      <c r="F41" s="20"/>
      <c r="G41" s="20"/>
      <c r="H41" s="20"/>
      <c r="I41" s="20"/>
      <c r="J41" s="20"/>
      <c r="K41" s="20"/>
      <c r="L41" s="20"/>
      <c r="M41" s="21"/>
    </row>
    <row r="42" spans="1:13" ht="15.75" customHeight="1">
      <c r="A42" s="69" t="s">
        <v>29</v>
      </c>
      <c r="B42" s="20"/>
      <c r="C42" s="20"/>
      <c r="D42" s="20"/>
      <c r="E42" s="20"/>
      <c r="F42" s="20"/>
      <c r="G42" s="20"/>
      <c r="H42" s="20"/>
      <c r="I42" s="20"/>
      <c r="J42" s="20"/>
      <c r="K42" s="20"/>
      <c r="L42" s="20"/>
      <c r="M42" s="21"/>
    </row>
    <row r="43" spans="1:13" ht="15.75" customHeight="1">
      <c r="A43" s="41" t="s">
        <v>64</v>
      </c>
      <c r="B43" s="20"/>
      <c r="C43" s="23">
        <f>C44+C46+C50+C48</f>
        <v>8127.467312582941</v>
      </c>
      <c r="D43" s="20"/>
      <c r="E43" s="20"/>
      <c r="F43" s="20"/>
      <c r="G43" s="23">
        <f>G44+G46+G50+G48</f>
        <v>14422.132516565443</v>
      </c>
      <c r="H43" s="20"/>
      <c r="I43" s="20"/>
      <c r="J43" s="20"/>
      <c r="K43" s="23">
        <f>G43-C43</f>
        <v>6294.665203982502</v>
      </c>
      <c r="L43" s="20"/>
      <c r="M43" s="21"/>
    </row>
    <row r="44" spans="1:13" ht="15.75" customHeight="1">
      <c r="A44" s="24" t="s">
        <v>61</v>
      </c>
      <c r="B44" s="20"/>
      <c r="C44" s="23">
        <f>PV(Assumptions!B211,Assumptions!P13,-C33,,0)</f>
        <v>7216.889487017868</v>
      </c>
      <c r="D44" s="20"/>
      <c r="E44" s="20"/>
      <c r="F44" s="20"/>
      <c r="G44" s="23">
        <f>PV(Assumptions!B211,Assumptions!P13,-G33,,0)</f>
        <v>12619.1884219466</v>
      </c>
      <c r="H44" s="20"/>
      <c r="I44" s="20"/>
      <c r="J44" s="20"/>
      <c r="K44" s="23">
        <f>G44-C44</f>
        <v>5402.298934928731</v>
      </c>
      <c r="L44" s="20"/>
      <c r="M44" s="21"/>
    </row>
    <row r="45" spans="1:13" s="3" customFormat="1" ht="15.75" customHeight="1" hidden="1" outlineLevel="1">
      <c r="A45" s="95" t="s">
        <v>62</v>
      </c>
      <c r="B45" s="96"/>
      <c r="C45" s="97">
        <f>C34*Assumptions!P13</f>
        <v>98437.5616750378</v>
      </c>
      <c r="D45" s="98"/>
      <c r="E45" s="98"/>
      <c r="F45" s="98"/>
      <c r="G45" s="97">
        <f>G34*Assumptions!P13</f>
        <v>172124.31211657485</v>
      </c>
      <c r="H45" s="98"/>
      <c r="I45" s="98"/>
      <c r="J45" s="98"/>
      <c r="K45" s="97">
        <f>G45-C45</f>
        <v>73686.75044153705</v>
      </c>
      <c r="L45" s="100"/>
      <c r="M45" s="99"/>
    </row>
    <row r="46" spans="1:13" ht="15.75" customHeight="1" collapsed="1">
      <c r="A46" s="24" t="s">
        <v>40</v>
      </c>
      <c r="B46" s="20"/>
      <c r="C46" s="23">
        <f>PV(Assumptions!B211,Assumptions!P13,-C35,,0)</f>
        <v>910.5778255650725</v>
      </c>
      <c r="D46" s="25"/>
      <c r="E46" s="25"/>
      <c r="F46" s="25"/>
      <c r="G46" s="23">
        <f>PV(Assumptions!B211,Assumptions!P13,-G35,,0)</f>
        <v>1802.9440946188436</v>
      </c>
      <c r="H46" s="25"/>
      <c r="I46" s="25"/>
      <c r="J46" s="25"/>
      <c r="K46" s="23">
        <f>G46-C46</f>
        <v>892.366269053771</v>
      </c>
      <c r="L46" s="26"/>
      <c r="M46" s="21"/>
    </row>
    <row r="47" spans="1:13" s="3" customFormat="1" ht="15.75" customHeight="1" hidden="1" outlineLevel="1">
      <c r="A47" s="95" t="s">
        <v>41</v>
      </c>
      <c r="B47" s="96"/>
      <c r="C47" s="97">
        <f>C36*Assumptions!P13</f>
        <v>270000</v>
      </c>
      <c r="D47" s="98"/>
      <c r="E47" s="98"/>
      <c r="F47" s="98"/>
      <c r="G47" s="97">
        <f>G36*Assumptions!P13</f>
        <v>534600</v>
      </c>
      <c r="H47" s="98"/>
      <c r="I47" s="98"/>
      <c r="J47" s="193">
        <f>G47-C47</f>
        <v>264600</v>
      </c>
      <c r="K47" s="194"/>
      <c r="L47" s="100"/>
      <c r="M47" s="99"/>
    </row>
    <row r="48" spans="1:13" ht="15.75" customHeight="1" collapsed="1">
      <c r="A48" s="24" t="s">
        <v>53</v>
      </c>
      <c r="B48" s="20"/>
      <c r="C48" s="23">
        <f>PV(Assumptions!B211,Assumptions!P13,-C37,,0)</f>
        <v>0</v>
      </c>
      <c r="D48" s="25"/>
      <c r="E48" s="25"/>
      <c r="F48" s="25"/>
      <c r="G48" s="23">
        <f>PV(Assumptions!B211,Assumptions!P13,-G37,,0)</f>
        <v>0</v>
      </c>
      <c r="H48" s="25"/>
      <c r="I48" s="25"/>
      <c r="J48" s="25"/>
      <c r="K48" s="23">
        <f>G48-C48</f>
        <v>0</v>
      </c>
      <c r="L48" s="26"/>
      <c r="M48" s="21"/>
    </row>
    <row r="49" spans="1:13" s="3" customFormat="1" ht="15.75" customHeight="1" hidden="1" outlineLevel="1">
      <c r="A49" s="95" t="s">
        <v>52</v>
      </c>
      <c r="B49" s="96"/>
      <c r="C49" s="97">
        <f>C38*Assumptions!P13</f>
        <v>0</v>
      </c>
      <c r="D49" s="98"/>
      <c r="E49" s="98"/>
      <c r="F49" s="98"/>
      <c r="G49" s="97">
        <f>G38*Assumptions!P13</f>
        <v>0</v>
      </c>
      <c r="H49" s="98"/>
      <c r="I49" s="98"/>
      <c r="J49" s="193">
        <f>G49-C49</f>
        <v>0</v>
      </c>
      <c r="K49" s="194"/>
      <c r="L49" s="100"/>
      <c r="M49" s="99"/>
    </row>
    <row r="50" spans="1:13" ht="15.75" customHeight="1" collapsed="1">
      <c r="A50" s="24" t="s">
        <v>39</v>
      </c>
      <c r="B50" s="20"/>
      <c r="C50" s="23">
        <f>PV(Assumptions!B211,Assumptions!B211,-C39,,0)</f>
        <v>0</v>
      </c>
      <c r="D50" s="20"/>
      <c r="E50" s="20"/>
      <c r="F50" s="20"/>
      <c r="G50" s="23">
        <f>PV(Assumptions!B211,Assumptions!P13,-G39,,0)</f>
        <v>0</v>
      </c>
      <c r="H50" s="20"/>
      <c r="I50" s="20"/>
      <c r="J50" s="20"/>
      <c r="K50" s="23">
        <f>G50-C50</f>
        <v>0</v>
      </c>
      <c r="L50" s="20"/>
      <c r="M50" s="21"/>
    </row>
    <row r="51" spans="1:13" ht="15.75" customHeight="1">
      <c r="A51" s="22" t="str">
        <f>"Purchase price for "&amp;C16&amp;" unit(s)"</f>
        <v>Purchase price for 20 unit(s)</v>
      </c>
      <c r="B51" s="20"/>
      <c r="C51" s="82">
        <f>C16*C26</f>
        <v>120000</v>
      </c>
      <c r="D51" s="20"/>
      <c r="E51" s="20"/>
      <c r="F51" s="20"/>
      <c r="G51" s="23">
        <f>C16*G26</f>
        <v>100000</v>
      </c>
      <c r="H51" s="20"/>
      <c r="I51" s="20"/>
      <c r="J51" s="20"/>
      <c r="K51" s="23">
        <f>G51-C51</f>
        <v>-20000</v>
      </c>
      <c r="L51" s="20"/>
      <c r="M51" s="21"/>
    </row>
    <row r="52" spans="1:13" s="29" customFormat="1" ht="15.75" customHeight="1">
      <c r="A52" s="70" t="s">
        <v>7</v>
      </c>
      <c r="B52" s="20"/>
      <c r="C52" s="83">
        <f>C43+C51</f>
        <v>128127.46731258294</v>
      </c>
      <c r="D52" s="27"/>
      <c r="E52" s="27"/>
      <c r="F52" s="27"/>
      <c r="G52" s="52">
        <f>G43+G51</f>
        <v>114422.13251656544</v>
      </c>
      <c r="H52" s="27"/>
      <c r="I52" s="27"/>
      <c r="J52" s="27"/>
      <c r="K52" s="52">
        <f>K43+K51</f>
        <v>-13705.334796017498</v>
      </c>
      <c r="L52" s="27"/>
      <c r="M52" s="28"/>
    </row>
    <row r="53" spans="1:13" s="29" customFormat="1" ht="15.75" customHeight="1">
      <c r="A53" s="51"/>
      <c r="B53" s="27"/>
      <c r="C53" s="53"/>
      <c r="D53" s="27"/>
      <c r="E53" s="27"/>
      <c r="F53" s="27"/>
      <c r="G53" s="53"/>
      <c r="H53" s="27"/>
      <c r="I53" s="27"/>
      <c r="J53" s="27"/>
      <c r="K53" s="53"/>
      <c r="L53" s="27"/>
      <c r="M53" s="28"/>
    </row>
    <row r="54" spans="1:13" ht="15.75" customHeight="1">
      <c r="A54" s="50"/>
      <c r="B54" s="20"/>
      <c r="C54" s="20"/>
      <c r="D54" s="20"/>
      <c r="E54" s="20"/>
      <c r="F54" s="20"/>
      <c r="G54" s="20"/>
      <c r="H54" s="20"/>
      <c r="I54" s="20"/>
      <c r="J54" s="30" t="s">
        <v>8</v>
      </c>
      <c r="K54" s="167" t="str">
        <f>IF(K62&lt;=0,0,IF(K40&lt;0,"N/A",IF(K40=0,"&gt;"&amp;Assumptions!P13&amp;"",IF(K62/K40&gt;Assumptions!P13,"&gt;"&amp;Assumptions!P13&amp;"",K62/K40))))</f>
        <v>&gt;10</v>
      </c>
      <c r="L54" s="20"/>
      <c r="M54" s="21"/>
    </row>
    <row r="55" spans="1:13" ht="4.5" customHeight="1">
      <c r="A55" s="31"/>
      <c r="B55" s="32"/>
      <c r="C55" s="32"/>
      <c r="D55" s="32"/>
      <c r="E55" s="32"/>
      <c r="F55" s="32"/>
      <c r="G55" s="32"/>
      <c r="H55" s="32"/>
      <c r="I55" s="32"/>
      <c r="J55" s="32"/>
      <c r="K55" s="32"/>
      <c r="L55" s="32"/>
      <c r="M55" s="33"/>
    </row>
    <row r="56" spans="1:13" ht="24" customHeight="1">
      <c r="A56" s="191" t="s">
        <v>30</v>
      </c>
      <c r="B56" s="192"/>
      <c r="C56" s="192"/>
      <c r="D56" s="192"/>
      <c r="E56" s="192"/>
      <c r="F56" s="192"/>
      <c r="G56" s="192"/>
      <c r="H56" s="192"/>
      <c r="I56" s="192"/>
      <c r="J56" s="192"/>
      <c r="K56" s="192"/>
      <c r="L56" s="192"/>
      <c r="M56" s="192"/>
    </row>
    <row r="57" spans="1:13" ht="13.5">
      <c r="A57" s="188" t="s">
        <v>31</v>
      </c>
      <c r="B57" s="188"/>
      <c r="C57" s="188"/>
      <c r="D57" s="188"/>
      <c r="E57" s="188"/>
      <c r="F57" s="188"/>
      <c r="G57" s="188"/>
      <c r="H57" s="188"/>
      <c r="I57" s="188"/>
      <c r="J57" s="188"/>
      <c r="K57" s="188"/>
      <c r="L57" s="188"/>
      <c r="M57" s="188"/>
    </row>
    <row r="58" spans="1:13" ht="14.25">
      <c r="A58" s="54"/>
      <c r="B58" s="54"/>
      <c r="C58" s="54"/>
      <c r="D58" s="54"/>
      <c r="E58" s="54"/>
      <c r="F58" s="54"/>
      <c r="G58" s="54"/>
      <c r="H58" s="54"/>
      <c r="I58" s="54"/>
      <c r="J58" s="54"/>
      <c r="K58" s="54"/>
      <c r="L58" s="54"/>
      <c r="M58" s="54"/>
    </row>
    <row r="59" ht="15" customHeight="1"/>
    <row r="60" spans="1:13" ht="15.75" customHeight="1">
      <c r="A60" s="189" t="str">
        <f>"Summary of Benefits for "&amp;C16&amp;" Commercial Dishwasher(s)"</f>
        <v>Summary of Benefits for 20 Commercial Dishwasher(s)</v>
      </c>
      <c r="B60" s="189"/>
      <c r="C60" s="189"/>
      <c r="D60" s="189"/>
      <c r="E60" s="189"/>
      <c r="F60" s="189"/>
      <c r="G60" s="189"/>
      <c r="H60" s="189"/>
      <c r="I60" s="189"/>
      <c r="J60" s="189"/>
      <c r="K60" s="189"/>
      <c r="L60" s="189"/>
      <c r="M60" s="189"/>
    </row>
    <row r="61" spans="1:13" ht="4.5" customHeight="1">
      <c r="A61" s="34" t="s">
        <v>9</v>
      </c>
      <c r="B61" s="35"/>
      <c r="C61" s="35"/>
      <c r="D61" s="35"/>
      <c r="E61" s="35"/>
      <c r="F61" s="35"/>
      <c r="G61" s="35"/>
      <c r="H61" s="35"/>
      <c r="I61" s="35"/>
      <c r="J61" s="35"/>
      <c r="K61" s="35"/>
      <c r="L61" s="35"/>
      <c r="M61" s="36"/>
    </row>
    <row r="62" spans="1:13" ht="15.75" customHeight="1">
      <c r="A62" s="37" t="s">
        <v>10</v>
      </c>
      <c r="B62" s="56"/>
      <c r="C62" s="56"/>
      <c r="D62" s="56"/>
      <c r="E62" s="56"/>
      <c r="F62" s="56"/>
      <c r="G62" s="56"/>
      <c r="H62" s="56"/>
      <c r="I62" s="56"/>
      <c r="J62" s="56"/>
      <c r="K62" s="113">
        <f>(C26-G26)*C16</f>
        <v>20000</v>
      </c>
      <c r="L62" s="84"/>
      <c r="M62" s="89"/>
    </row>
    <row r="63" spans="1:13" ht="15.75" customHeight="1">
      <c r="A63" s="37" t="s">
        <v>11</v>
      </c>
      <c r="B63" s="56"/>
      <c r="C63" s="56"/>
      <c r="D63" s="56"/>
      <c r="E63" s="56"/>
      <c r="F63" s="56"/>
      <c r="G63" s="56"/>
      <c r="H63" s="56"/>
      <c r="I63" s="56"/>
      <c r="J63" s="56"/>
      <c r="K63" s="113">
        <f>K43</f>
        <v>6294.665203982502</v>
      </c>
      <c r="L63" s="84"/>
      <c r="M63" s="89"/>
    </row>
    <row r="64" spans="1:13" ht="15.75" customHeight="1">
      <c r="A64" s="37" t="s">
        <v>12</v>
      </c>
      <c r="B64" s="56"/>
      <c r="C64" s="56"/>
      <c r="D64" s="56"/>
      <c r="E64" s="56"/>
      <c r="F64" s="56"/>
      <c r="G64" s="56"/>
      <c r="H64" s="56"/>
      <c r="I64" s="56"/>
      <c r="J64" s="56"/>
      <c r="K64" s="113">
        <f>K52</f>
        <v>-13705.334796017498</v>
      </c>
      <c r="L64" s="84"/>
      <c r="M64" s="89"/>
    </row>
    <row r="65" spans="1:13" ht="15.75" customHeight="1">
      <c r="A65" s="37" t="s">
        <v>13</v>
      </c>
      <c r="B65" s="56"/>
      <c r="C65" s="56"/>
      <c r="D65" s="56"/>
      <c r="E65" s="56"/>
      <c r="F65" s="56"/>
      <c r="G65" s="56"/>
      <c r="H65" s="56"/>
      <c r="I65" s="56"/>
      <c r="J65" s="56"/>
      <c r="K65" s="114" t="str">
        <f>K54</f>
        <v>&gt;10</v>
      </c>
      <c r="L65" s="85"/>
      <c r="M65" s="90"/>
    </row>
    <row r="66" spans="1:13" ht="15.75" customHeight="1">
      <c r="A66" s="37" t="s">
        <v>65</v>
      </c>
      <c r="B66" s="56"/>
      <c r="C66" s="56"/>
      <c r="D66" s="56"/>
      <c r="E66" s="56"/>
      <c r="F66" s="56"/>
      <c r="G66" s="56"/>
      <c r="H66" s="56"/>
      <c r="I66" s="56"/>
      <c r="J66" s="56"/>
      <c r="K66" s="115">
        <f>K45</f>
        <v>73686.75044153705</v>
      </c>
      <c r="L66" s="86"/>
      <c r="M66" s="91"/>
    </row>
    <row r="67" spans="1:13" ht="15.75" customHeight="1">
      <c r="A67" s="37" t="s">
        <v>14</v>
      </c>
      <c r="B67" s="56"/>
      <c r="C67" s="56"/>
      <c r="D67" s="56"/>
      <c r="E67" s="56"/>
      <c r="F67" s="56"/>
      <c r="G67" s="56"/>
      <c r="H67" s="56"/>
      <c r="I67" s="56"/>
      <c r="J67" s="56"/>
      <c r="K67" s="115">
        <f>K45*Assumptions!B222</f>
        <v>113109.16192775937</v>
      </c>
      <c r="L67" s="86"/>
      <c r="M67" s="91"/>
    </row>
    <row r="68" spans="1:13" ht="15.75" customHeight="1">
      <c r="A68" s="37" t="s">
        <v>15</v>
      </c>
      <c r="B68" s="56"/>
      <c r="C68" s="56"/>
      <c r="D68" s="56"/>
      <c r="E68" s="56"/>
      <c r="F68" s="56"/>
      <c r="G68" s="56"/>
      <c r="H68" s="56"/>
      <c r="I68" s="56"/>
      <c r="J68" s="56"/>
      <c r="K68" s="115">
        <f>K45*Assumptions!B222/Assumptions!B227</f>
        <v>9.861304440083641</v>
      </c>
      <c r="L68" s="87"/>
      <c r="M68" s="92"/>
    </row>
    <row r="69" spans="1:13" ht="15.75" customHeight="1">
      <c r="A69" s="37" t="s">
        <v>16</v>
      </c>
      <c r="B69" s="56"/>
      <c r="C69" s="56"/>
      <c r="D69" s="56"/>
      <c r="E69" s="56"/>
      <c r="F69" s="56"/>
      <c r="G69" s="56"/>
      <c r="H69" s="56"/>
      <c r="I69" s="56"/>
      <c r="J69" s="56"/>
      <c r="K69" s="115">
        <f>K45*Assumptions!B222/Assumptions!B226</f>
        <v>14.022955855164811</v>
      </c>
      <c r="L69" s="87"/>
      <c r="M69" s="92"/>
    </row>
    <row r="70" spans="1:13" ht="15.75" customHeight="1">
      <c r="A70" s="74" t="s">
        <v>17</v>
      </c>
      <c r="B70" s="56"/>
      <c r="C70" s="56"/>
      <c r="D70" s="56"/>
      <c r="E70" s="56"/>
      <c r="F70" s="56"/>
      <c r="G70" s="56"/>
      <c r="H70" s="56"/>
      <c r="I70" s="56"/>
      <c r="J70" s="56"/>
      <c r="K70" s="116">
        <f>K52/(C26*C16)</f>
        <v>-0.11421112330014581</v>
      </c>
      <c r="L70" s="88"/>
      <c r="M70" s="93"/>
    </row>
    <row r="71" spans="1:13" s="40" customFormat="1" ht="4.5" customHeight="1">
      <c r="A71" s="75"/>
      <c r="B71" s="38"/>
      <c r="C71" s="38"/>
      <c r="D71" s="38"/>
      <c r="E71" s="38"/>
      <c r="F71" s="38"/>
      <c r="G71" s="38"/>
      <c r="H71" s="38"/>
      <c r="I71" s="38"/>
      <c r="J71" s="38"/>
      <c r="K71" s="38"/>
      <c r="L71" s="38"/>
      <c r="M71" s="39"/>
    </row>
    <row r="72" s="40" customFormat="1" ht="15.75" customHeight="1">
      <c r="A72" s="55"/>
    </row>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sheetData>
  <sheetProtection/>
  <mergeCells count="16">
    <mergeCell ref="B24:D24"/>
    <mergeCell ref="F24:H24"/>
    <mergeCell ref="J24:L24"/>
    <mergeCell ref="A30:M30"/>
    <mergeCell ref="A7:M7"/>
    <mergeCell ref="A8:M8"/>
    <mergeCell ref="A11:M11"/>
    <mergeCell ref="A14:M14"/>
    <mergeCell ref="A57:M57"/>
    <mergeCell ref="A60:M60"/>
    <mergeCell ref="B31:D31"/>
    <mergeCell ref="F31:H31"/>
    <mergeCell ref="J31:L31"/>
    <mergeCell ref="A56:M56"/>
    <mergeCell ref="J47:K47"/>
    <mergeCell ref="J49:K49"/>
  </mergeCells>
  <dataValidations count="4">
    <dataValidation type="decimal" operator="greaterThan" showInputMessage="1" showErrorMessage="1" error="Please Enter a Positive Value.&#10;&#10;Thank you." sqref="C26 C16 G26">
      <formula1>0</formula1>
    </dataValidation>
    <dataValidation type="decimal" showInputMessage="1" showErrorMessage="1" error="Please enter a value between $.02 and $.45.&#10;&#10;Thank you." sqref="C17">
      <formula1>0.02</formula1>
      <formula2>0.45</formula2>
    </dataValidation>
    <dataValidation type="decimal" showInputMessage="1" showErrorMessage="1" error="Please enter a value between $2 and $8.&#10;&#10;Thank you." sqref="C18">
      <formula1>2</formula1>
      <formula2>11</formula2>
    </dataValidation>
    <dataValidation type="decimal" showInputMessage="1" showErrorMessage="1" error="Please enter a value between $.30 and $3.00.&#10;&#10;Thank you." sqref="C19">
      <formula1>0.3</formula1>
      <formula2>3</formula2>
    </dataValidation>
  </dataValidations>
  <printOptions horizontalCentered="1"/>
  <pageMargins left="1" right="1" top="0.5" bottom="0.5" header="0.25" footer="0.25"/>
  <pageSetup fitToHeight="1" fitToWidth="1" horizontalDpi="600" verticalDpi="600" orientation="portrait" scale="70" r:id="rId3"/>
  <drawing r:id="rId2"/>
  <legacyDrawing r:id="rId1"/>
</worksheet>
</file>

<file path=xl/worksheets/sheet2.xml><?xml version="1.0" encoding="utf-8"?>
<worksheet xmlns="http://schemas.openxmlformats.org/spreadsheetml/2006/main" xmlns:r="http://schemas.openxmlformats.org/officeDocument/2006/relationships">
  <dimension ref="A1:IV231"/>
  <sheetViews>
    <sheetView workbookViewId="0" topLeftCell="A46">
      <selection activeCell="O13" sqref="O13"/>
    </sheetView>
  </sheetViews>
  <sheetFormatPr defaultColWidth="9.140625" defaultRowHeight="12.75"/>
  <cols>
    <col min="1" max="1" width="45.7109375" style="65" bestFit="1" customWidth="1"/>
    <col min="2" max="2" width="10.140625" style="67" bestFit="1" customWidth="1"/>
    <col min="3" max="3" width="11.8515625" style="68" bestFit="1" customWidth="1"/>
    <col min="4" max="4" width="23.7109375" style="152" customWidth="1"/>
    <col min="5" max="5" width="85.421875" style="66" customWidth="1"/>
    <col min="6" max="6" width="4.28125" style="59" customWidth="1"/>
    <col min="7" max="7" width="29.8515625" style="59" customWidth="1"/>
    <col min="8" max="8" width="8.140625" style="59" customWidth="1"/>
    <col min="9" max="9" width="12.7109375" style="59" bestFit="1" customWidth="1"/>
    <col min="10" max="10" width="14.00390625" style="59" bestFit="1" customWidth="1"/>
    <col min="11" max="11" width="7.7109375" style="59" bestFit="1" customWidth="1"/>
    <col min="12" max="21" width="9.140625" style="59" customWidth="1"/>
    <col min="22" max="16384" width="9.140625" style="60" customWidth="1"/>
  </cols>
  <sheetData>
    <row r="1" spans="1:16" ht="15.75">
      <c r="A1" s="200" t="s">
        <v>80</v>
      </c>
      <c r="B1" s="201"/>
      <c r="C1" s="201"/>
      <c r="D1" s="202"/>
      <c r="E1" s="132"/>
      <c r="F1" s="111"/>
      <c r="G1" s="204" t="s">
        <v>140</v>
      </c>
      <c r="H1" s="204"/>
      <c r="I1" s="204"/>
      <c r="J1" s="204"/>
      <c r="K1" s="204"/>
      <c r="L1" s="204"/>
      <c r="M1" s="204"/>
      <c r="N1" s="204"/>
      <c r="O1" s="204"/>
      <c r="P1" s="204"/>
    </row>
    <row r="2" spans="1:16" ht="15.75">
      <c r="A2" s="157"/>
      <c r="B2" s="61"/>
      <c r="C2" s="61"/>
      <c r="D2" s="153"/>
      <c r="E2" s="61"/>
      <c r="F2" s="111"/>
      <c r="G2" s="204"/>
      <c r="H2" s="204"/>
      <c r="I2" s="204"/>
      <c r="J2" s="204"/>
      <c r="K2" s="204"/>
      <c r="L2" s="204"/>
      <c r="M2" s="204"/>
      <c r="N2" s="204"/>
      <c r="O2" s="204"/>
      <c r="P2" s="204"/>
    </row>
    <row r="3" spans="1:15" ht="14.25">
      <c r="A3" s="158" t="s">
        <v>18</v>
      </c>
      <c r="B3" s="203" t="s">
        <v>19</v>
      </c>
      <c r="C3" s="203"/>
      <c r="D3" s="154" t="s">
        <v>20</v>
      </c>
      <c r="E3" s="151"/>
      <c r="F3" s="109"/>
      <c r="G3" s="109"/>
      <c r="H3" s="199" t="s">
        <v>49</v>
      </c>
      <c r="I3" s="199"/>
      <c r="J3" s="199"/>
      <c r="K3" s="199"/>
      <c r="L3" s="199" t="s">
        <v>134</v>
      </c>
      <c r="M3" s="199"/>
      <c r="N3" s="199"/>
      <c r="O3" s="199"/>
    </row>
    <row r="4" spans="1:16" ht="15" customHeight="1">
      <c r="A4" s="173" t="s">
        <v>132</v>
      </c>
      <c r="B4" s="138"/>
      <c r="C4" s="127"/>
      <c r="D4" s="63"/>
      <c r="E4" s="133"/>
      <c r="F4" s="156">
        <v>2</v>
      </c>
      <c r="G4" t="s">
        <v>115</v>
      </c>
      <c r="H4" s="59" t="s">
        <v>126</v>
      </c>
      <c r="I4" s="131" t="s">
        <v>124</v>
      </c>
      <c r="J4" s="131" t="s">
        <v>125</v>
      </c>
      <c r="K4" s="59" t="s">
        <v>135</v>
      </c>
      <c r="L4" s="59" t="s">
        <v>126</v>
      </c>
      <c r="M4" s="131" t="s">
        <v>124</v>
      </c>
      <c r="N4" s="131" t="s">
        <v>125</v>
      </c>
      <c r="O4" s="65" t="s">
        <v>135</v>
      </c>
      <c r="P4" s="59" t="s">
        <v>137</v>
      </c>
    </row>
    <row r="5" spans="1:16" ht="12.75">
      <c r="A5" s="176" t="s">
        <v>116</v>
      </c>
      <c r="B5" s="177"/>
      <c r="C5" s="178"/>
      <c r="D5" s="179"/>
      <c r="E5" s="133"/>
      <c r="F5" s="156">
        <v>1</v>
      </c>
      <c r="G5" t="s">
        <v>116</v>
      </c>
      <c r="H5">
        <f>B9</f>
        <v>45900</v>
      </c>
      <c r="I5" s="134">
        <f>IF(C11="kWh",B11,0)+IF(C12="kWh",B12,0)+B13</f>
        <v>8964.501672117725</v>
      </c>
      <c r="J5" s="134">
        <f>IF(C11&lt;&gt;"kWh",B11,0)+IF(C12&lt;&gt;"kWh",B12,0)</f>
        <v>0</v>
      </c>
      <c r="K5" s="135">
        <f>B14</f>
        <v>5800</v>
      </c>
      <c r="L5">
        <f>B99</f>
        <v>52650</v>
      </c>
      <c r="M5" s="134">
        <f>IF(C101="kWh",B101,0)+IF(C102="kWh",B102,0)+B103</f>
        <v>10160.715153311508</v>
      </c>
      <c r="N5" s="134">
        <f>IF(C101&lt;&gt;"kWh",B101,0)+IF(C102&lt;&gt;"kWh",B102,0)</f>
        <v>0</v>
      </c>
      <c r="O5" s="137">
        <f>B104</f>
        <v>4800</v>
      </c>
      <c r="P5" s="136">
        <f>B15</f>
        <v>10</v>
      </c>
    </row>
    <row r="6" spans="1:16" ht="12.75">
      <c r="A6" s="128" t="s">
        <v>100</v>
      </c>
      <c r="B6" s="138">
        <v>75</v>
      </c>
      <c r="C6" s="127" t="s">
        <v>144</v>
      </c>
      <c r="D6" s="63" t="s">
        <v>104</v>
      </c>
      <c r="E6" s="152"/>
      <c r="F6" s="156">
        <f>1+F5</f>
        <v>2</v>
      </c>
      <c r="G6" t="s">
        <v>117</v>
      </c>
      <c r="H6">
        <f>B20</f>
        <v>27000</v>
      </c>
      <c r="I6" s="134">
        <f>IF(C22="kWh",B22,0)+IF(C23="kWh",B23,0)+B24</f>
        <v>9843.75616750378</v>
      </c>
      <c r="J6" s="166">
        <f>IF(C22&lt;&gt;"kWh",B22,0)+IF(C23&lt;&gt;"kWh",B23,0)</f>
        <v>0</v>
      </c>
      <c r="K6" s="137">
        <f>B25</f>
        <v>6000</v>
      </c>
      <c r="L6" s="169">
        <f>B110</f>
        <v>53460</v>
      </c>
      <c r="M6" s="166">
        <f>IF(C112="kWh",B112,0)+IF(C113="kWh",B113,0)+B114</f>
        <v>17212.431211657484</v>
      </c>
      <c r="N6" s="134">
        <f>IF(C112&lt;&gt;"kWh",B112,0)+IF(C113&lt;&gt;"kWh",B113,0)</f>
        <v>0</v>
      </c>
      <c r="O6" s="137">
        <f>B115</f>
        <v>5000</v>
      </c>
      <c r="P6" s="136">
        <f>B26</f>
        <v>10</v>
      </c>
    </row>
    <row r="7" spans="1:16" ht="25.5">
      <c r="A7" s="128" t="s">
        <v>74</v>
      </c>
      <c r="B7" s="138">
        <v>1.7</v>
      </c>
      <c r="C7" s="127" t="s">
        <v>73</v>
      </c>
      <c r="D7" s="63" t="s">
        <v>133</v>
      </c>
      <c r="E7" s="152"/>
      <c r="F7" s="156">
        <f aca="true" t="shared" si="0" ref="F7:F12">1+F6</f>
        <v>3</v>
      </c>
      <c r="G7" t="s">
        <v>118</v>
      </c>
      <c r="H7">
        <f>B31</f>
        <v>118944</v>
      </c>
      <c r="I7" s="134">
        <f>IF(C33="kWh",B33,0)+IF(C34="kWh",B34,0)+B35</f>
        <v>21533.91648994272</v>
      </c>
      <c r="J7" s="166">
        <f>IF(C33&lt;&gt;"kWh",B33,0)+IF(C34&lt;&gt;"kWh",B34,0)</f>
        <v>0</v>
      </c>
      <c r="K7" s="137">
        <f>B36</f>
        <v>8500</v>
      </c>
      <c r="L7" s="169">
        <f>B121</f>
        <v>186480</v>
      </c>
      <c r="M7" s="166">
        <f>IF(C123="kWh",B123,0)+IF(C124="kWh",B124,0)+B125</f>
        <v>33502.43110711358</v>
      </c>
      <c r="N7" s="134">
        <f>IF(C123&lt;&gt;"kWh",B123,0)+IF(C124="kWh",B124,0)</f>
        <v>0</v>
      </c>
      <c r="O7" s="137">
        <f>B126</f>
        <v>6500</v>
      </c>
      <c r="P7" s="136">
        <f>B37</f>
        <v>15</v>
      </c>
    </row>
    <row r="8" spans="1:16" ht="12.75">
      <c r="A8" s="128" t="s">
        <v>127</v>
      </c>
      <c r="B8" s="138">
        <v>2.1</v>
      </c>
      <c r="C8" s="127" t="s">
        <v>128</v>
      </c>
      <c r="D8" s="63" t="s">
        <v>104</v>
      </c>
      <c r="E8" s="186"/>
      <c r="F8" s="156">
        <f t="shared" si="0"/>
        <v>4</v>
      </c>
      <c r="G8" s="125" t="s">
        <v>119</v>
      </c>
      <c r="H8">
        <f>B42</f>
        <v>95760</v>
      </c>
      <c r="I8" s="134">
        <f>IF(C44="kWh",B44,0)+IF(C45="kWh",B45,0)+B46</f>
        <v>28866.94587408007</v>
      </c>
      <c r="J8" s="166">
        <f>IF(C44&lt;&gt;"kWh",B44,0)+IF(C45&lt;&gt;"kWh",B45,0)</f>
        <v>0</v>
      </c>
      <c r="K8" s="137">
        <f>B47</f>
        <v>9000</v>
      </c>
      <c r="L8" s="169">
        <f>B132</f>
        <v>145152</v>
      </c>
      <c r="M8" s="166">
        <f>IF(C134="kWh",B134,0)+IF(C135="kWh",B135,0)+B136</f>
        <v>42816.68595650032</v>
      </c>
      <c r="N8" s="134">
        <f>IF(C134&lt;&gt;"kWh",B134,0)+IF(C135&lt;&gt;"kWh",B135,0)</f>
        <v>0</v>
      </c>
      <c r="O8" s="137">
        <f>B137</f>
        <v>6900</v>
      </c>
      <c r="P8" s="136">
        <f>B48</f>
        <v>15</v>
      </c>
    </row>
    <row r="9" spans="1:16" ht="12.75" customHeight="1">
      <c r="A9" s="128" t="s">
        <v>101</v>
      </c>
      <c r="B9" s="139">
        <f>$B$204*B6*$B$7</f>
        <v>45900</v>
      </c>
      <c r="C9" s="127" t="s">
        <v>73</v>
      </c>
      <c r="D9" s="63" t="s">
        <v>103</v>
      </c>
      <c r="E9" s="152"/>
      <c r="F9" s="156">
        <f t="shared" si="0"/>
        <v>5</v>
      </c>
      <c r="G9" s="125" t="s">
        <v>120</v>
      </c>
      <c r="H9">
        <f>B53</f>
        <v>113760</v>
      </c>
      <c r="I9" s="134">
        <f>IF(C55="kWh",B55,0)+IF(C56="kWh",B56,0)+B57</f>
        <v>24134.58453638589</v>
      </c>
      <c r="J9" s="166">
        <f>IF(C55&lt;&gt;"kWh",B55,0)+IF(C56&lt;&gt;"kWh",B56,0)</f>
        <v>0</v>
      </c>
      <c r="K9" s="137">
        <f>B58</f>
        <v>14000</v>
      </c>
      <c r="L9" s="169">
        <f>B143</f>
        <v>177120</v>
      </c>
      <c r="M9" s="166">
        <f>IF(C145="kWh",B145,0)+IF(C146="kWh",B146,0)+B147</f>
        <v>35363.04174652487</v>
      </c>
      <c r="N9" s="134">
        <f>IF(C145&lt;&gt;"kWh",B145,0)+IF(C146&lt;&gt;"kWh",B146,0)</f>
        <v>0</v>
      </c>
      <c r="O9" s="137">
        <f>B148</f>
        <v>11000</v>
      </c>
      <c r="P9" s="136">
        <f>B59</f>
        <v>20</v>
      </c>
    </row>
    <row r="10" spans="1:16" ht="12.75">
      <c r="A10" s="128" t="s">
        <v>102</v>
      </c>
      <c r="B10" s="138">
        <v>0.15</v>
      </c>
      <c r="C10" s="127" t="s">
        <v>95</v>
      </c>
      <c r="D10" s="63" t="s">
        <v>114</v>
      </c>
      <c r="E10" s="152"/>
      <c r="F10" s="156">
        <f t="shared" si="0"/>
        <v>6</v>
      </c>
      <c r="G10" s="125" t="s">
        <v>121</v>
      </c>
      <c r="H10">
        <f>B64</f>
        <v>100800</v>
      </c>
      <c r="I10" s="134">
        <f>IF(C66="kWh",B66,0)+IF(C67="kWh",B67,0)+B68</f>
        <v>39591.14302534745</v>
      </c>
      <c r="J10" s="166">
        <f>IF(C66&lt;&gt;"kWh",B66,0)+IF(C67&lt;&gt;"kWh",B67,0)</f>
        <v>0</v>
      </c>
      <c r="K10" s="137">
        <f>B69</f>
        <v>15000</v>
      </c>
      <c r="L10" s="169">
        <f>B154</f>
        <v>162719.99999999997</v>
      </c>
      <c r="M10" s="166">
        <f>IF(C156="kWh",B156,0)+IF(C157="kWh",B157,0)+B158</f>
        <v>58562.84516948943</v>
      </c>
      <c r="N10" s="134">
        <f>IF(C156&lt;&gt;"kWh",B156,0)+IF(C157&lt;&gt;"kWh",B157,0)</f>
        <v>0</v>
      </c>
      <c r="O10" s="137">
        <f>B159</f>
        <v>12000</v>
      </c>
      <c r="P10" s="136">
        <f>B70</f>
        <v>20</v>
      </c>
    </row>
    <row r="11" spans="1:16" ht="12.75">
      <c r="A11" s="128" t="s">
        <v>130</v>
      </c>
      <c r="B11" s="139">
        <f>B9*$H$22</f>
        <v>8134.251672117725</v>
      </c>
      <c r="C11" s="127" t="str">
        <f>$I$22</f>
        <v>kWh</v>
      </c>
      <c r="D11" s="63" t="s">
        <v>103</v>
      </c>
      <c r="E11" s="152"/>
      <c r="F11" s="156">
        <f t="shared" si="0"/>
        <v>7</v>
      </c>
      <c r="G11" s="125" t="s">
        <v>122</v>
      </c>
      <c r="H11">
        <f>B75</f>
        <v>116640.00000000001</v>
      </c>
      <c r="I11" s="134">
        <f>IF(C77="kWh",B77,0)+IF(C78="kWh",B78,0)+B79</f>
        <v>29310.568955028575</v>
      </c>
      <c r="J11" s="166">
        <f>IF(C77&lt;&gt;"kWh",B77,0)+IF(C78&lt;&gt;"kWh",B78,0)</f>
        <v>0</v>
      </c>
      <c r="K11" s="137">
        <f>B80</f>
        <v>22000</v>
      </c>
      <c r="L11" s="169">
        <f>B165</f>
        <v>213840</v>
      </c>
      <c r="M11" s="166">
        <f>IF(C167="kWh",B167,0)+IF(C168="kWh",B168,0)+B169</f>
        <v>46536.043084219054</v>
      </c>
      <c r="N11" s="134">
        <f>IF(C167&lt;&gt;"kWh",B167,0)+IF(C168&lt;&gt;"kWh",B168,0)</f>
        <v>0</v>
      </c>
      <c r="O11" s="137">
        <f>B170</f>
        <v>18000</v>
      </c>
      <c r="P11" s="136">
        <f>B81</f>
        <v>20</v>
      </c>
    </row>
    <row r="12" spans="1:16" ht="12.75">
      <c r="A12" s="128" t="s">
        <v>131</v>
      </c>
      <c r="B12" s="139">
        <v>0</v>
      </c>
      <c r="C12" s="127" t="str">
        <f>$I$17</f>
        <v>kWh</v>
      </c>
      <c r="D12" s="63" t="s">
        <v>114</v>
      </c>
      <c r="E12" s="133"/>
      <c r="F12" s="156">
        <f t="shared" si="0"/>
        <v>8</v>
      </c>
      <c r="G12" s="125" t="s">
        <v>123</v>
      </c>
      <c r="H12">
        <f>B86</f>
        <v>116640.00000000001</v>
      </c>
      <c r="I12" s="134">
        <f>IF(C88="kWh",B88,0)+IF(C89="kWh",B89,0)+B90</f>
        <v>46306.32264361633</v>
      </c>
      <c r="J12" s="166">
        <f>IF(C88&lt;&gt;"kWh",B88,0)+IF(C89&lt;&gt;"kWh",B89,0)</f>
        <v>0</v>
      </c>
      <c r="K12" s="137">
        <f>B91</f>
        <v>24000</v>
      </c>
      <c r="L12" s="169">
        <f>B176</f>
        <v>237600.00000000003</v>
      </c>
      <c r="M12" s="166">
        <f>IF(C178="kWh",B178,0)+IF(C179="kWh",B179,0)+B180</f>
        <v>79991.69427403327</v>
      </c>
      <c r="N12" s="134">
        <f>IF(C178&lt;&gt;"kWh",B178,0)+IF(C179&lt;&gt;"kWh",B179,0)</f>
        <v>0</v>
      </c>
      <c r="O12" s="137">
        <f>B181</f>
        <v>20000</v>
      </c>
      <c r="P12" s="136">
        <f>B92</f>
        <v>20</v>
      </c>
    </row>
    <row r="13" spans="1:16" ht="12.75">
      <c r="A13" s="128" t="s">
        <v>129</v>
      </c>
      <c r="B13" s="139">
        <f>B10*($B$204*$B$203-$B$204*B6*B8/60)</f>
        <v>830.25</v>
      </c>
      <c r="C13" s="127" t="s">
        <v>50</v>
      </c>
      <c r="D13" s="63" t="s">
        <v>103</v>
      </c>
      <c r="E13" s="133"/>
      <c r="F13" s="170"/>
      <c r="G13" s="125" t="s">
        <v>113</v>
      </c>
      <c r="H13">
        <f>VLOOKUP($F$4,$F$5:$O$12,3)</f>
        <v>27000</v>
      </c>
      <c r="I13" s="134">
        <f>VLOOKUP($F$4,$F$5:$O$12,4)</f>
        <v>9843.75616750378</v>
      </c>
      <c r="J13" s="166">
        <f>VLOOKUP($F$4,$F$5:$O$12,5)</f>
        <v>0</v>
      </c>
      <c r="K13" s="169">
        <f>VLOOKUP($F$4,$F$5:$O$12,6)</f>
        <v>6000</v>
      </c>
      <c r="L13" s="169">
        <f>VLOOKUP($F$4,$F$5:$O$12,7)</f>
        <v>53460</v>
      </c>
      <c r="M13" s="166">
        <f>VLOOKUP($F$4,$F$5:$O$12,8)</f>
        <v>17212.431211657484</v>
      </c>
      <c r="N13" s="134">
        <f>VLOOKUP($F$4,$F$5:$O$12,9)</f>
        <v>0</v>
      </c>
      <c r="O13">
        <f>VLOOKUP($F$4,$F$5:$O$12,10)</f>
        <v>5000</v>
      </c>
      <c r="P13">
        <f>VLOOKUP($F$4,$F$5:$P$12,11)</f>
        <v>10</v>
      </c>
    </row>
    <row r="14" spans="1:15" ht="12.75" customHeight="1">
      <c r="A14" s="128" t="s">
        <v>48</v>
      </c>
      <c r="B14" s="144">
        <v>5800</v>
      </c>
      <c r="C14" s="127"/>
      <c r="D14" s="63" t="s">
        <v>138</v>
      </c>
      <c r="E14" s="133"/>
      <c r="F14" s="171">
        <v>2</v>
      </c>
      <c r="G14" s="59" t="s">
        <v>109</v>
      </c>
      <c r="J14" s="169"/>
      <c r="K14" s="169"/>
      <c r="L14" s="169"/>
      <c r="M14" s="169"/>
      <c r="N14" s="117"/>
      <c r="O14" s="117"/>
    </row>
    <row r="15" spans="1:15" ht="12.75">
      <c r="A15" s="128" t="s">
        <v>76</v>
      </c>
      <c r="B15" s="139">
        <v>10</v>
      </c>
      <c r="C15" s="127" t="s">
        <v>77</v>
      </c>
      <c r="D15" s="63" t="s">
        <v>104</v>
      </c>
      <c r="E15" s="133"/>
      <c r="F15" s="171">
        <v>1</v>
      </c>
      <c r="G15" s="59" t="s">
        <v>105</v>
      </c>
      <c r="H15" s="59">
        <f>((B198*B199*B200/B195)*10^-6)/B219</f>
        <v>0.004104278074866309</v>
      </c>
      <c r="I15" s="59" t="s">
        <v>136</v>
      </c>
      <c r="J15"/>
      <c r="K15"/>
      <c r="L15"/>
      <c r="M15"/>
      <c r="N15" s="117"/>
      <c r="O15" s="117"/>
    </row>
    <row r="16" spans="1:15" ht="12.75">
      <c r="A16" s="176" t="s">
        <v>117</v>
      </c>
      <c r="B16" s="177"/>
      <c r="C16" s="178"/>
      <c r="D16" s="179"/>
      <c r="E16" s="133"/>
      <c r="F16" s="171">
        <v>2</v>
      </c>
      <c r="G16" s="59" t="s">
        <v>106</v>
      </c>
      <c r="H16" s="59">
        <f>(B198*B199*B200/B197)/B220</f>
        <v>0.10126674973069062</v>
      </c>
      <c r="I16" s="59" t="s">
        <v>50</v>
      </c>
      <c r="K16"/>
      <c r="L16"/>
      <c r="M16"/>
      <c r="N16" s="117"/>
      <c r="O16" s="117"/>
    </row>
    <row r="17" spans="1:15" ht="12.75">
      <c r="A17" s="128" t="s">
        <v>100</v>
      </c>
      <c r="B17" s="138">
        <v>75</v>
      </c>
      <c r="C17" s="127" t="s">
        <v>144</v>
      </c>
      <c r="D17" s="63" t="s">
        <v>104</v>
      </c>
      <c r="E17" s="133"/>
      <c r="F17" s="171"/>
      <c r="G17" s="59" t="s">
        <v>113</v>
      </c>
      <c r="H17" s="59">
        <f>VLOOKUP(F14,F15:H16,3)</f>
        <v>0.10126674973069062</v>
      </c>
      <c r="I17" s="59" t="str">
        <f>VLOOKUP(F14,F15:I16,4)</f>
        <v>kWh</v>
      </c>
      <c r="J17"/>
      <c r="K17"/>
      <c r="L17"/>
      <c r="M17"/>
      <c r="N17" s="117"/>
      <c r="O17" s="117"/>
    </row>
    <row r="18" spans="1:256" ht="25.5">
      <c r="A18" s="128" t="s">
        <v>74</v>
      </c>
      <c r="B18" s="138">
        <v>1</v>
      </c>
      <c r="C18" s="127" t="s">
        <v>73</v>
      </c>
      <c r="D18" s="63" t="s">
        <v>133</v>
      </c>
      <c r="E18" s="133"/>
      <c r="F18" s="171"/>
      <c r="J18"/>
      <c r="K18"/>
      <c r="L18"/>
      <c r="M18"/>
      <c r="N18" s="122"/>
      <c r="O18" s="118"/>
      <c r="P18" s="65"/>
      <c r="Q18" s="104"/>
      <c r="R18" s="64"/>
      <c r="S18" s="78"/>
      <c r="T18" s="65"/>
      <c r="U18" s="104"/>
      <c r="V18" s="64"/>
      <c r="W18" s="78"/>
      <c r="X18" s="65"/>
      <c r="Y18" s="104"/>
      <c r="Z18" s="64"/>
      <c r="AA18" s="78"/>
      <c r="AB18" s="65"/>
      <c r="AC18" s="104"/>
      <c r="AD18" s="64"/>
      <c r="AE18" s="78"/>
      <c r="AF18" s="65"/>
      <c r="AG18" s="104"/>
      <c r="AH18" s="64"/>
      <c r="AI18" s="78"/>
      <c r="AJ18" s="65"/>
      <c r="AK18" s="104"/>
      <c r="AL18" s="64"/>
      <c r="AM18" s="78"/>
      <c r="AN18" s="65"/>
      <c r="AO18" s="104"/>
      <c r="AP18" s="64"/>
      <c r="AQ18" s="78"/>
      <c r="AR18" s="65"/>
      <c r="AS18" s="104"/>
      <c r="AT18" s="64"/>
      <c r="AU18" s="78"/>
      <c r="AV18" s="65"/>
      <c r="AW18" s="104"/>
      <c r="AX18" s="64"/>
      <c r="AY18" s="78"/>
      <c r="AZ18" s="65"/>
      <c r="BA18" s="104"/>
      <c r="BB18" s="64"/>
      <c r="BC18" s="78"/>
      <c r="BD18" s="65"/>
      <c r="BE18" s="104"/>
      <c r="BF18" s="64"/>
      <c r="BG18" s="78"/>
      <c r="BH18" s="65"/>
      <c r="BI18" s="104"/>
      <c r="BJ18" s="64"/>
      <c r="BK18" s="78"/>
      <c r="BL18" s="65"/>
      <c r="BM18" s="104"/>
      <c r="BN18" s="64"/>
      <c r="BO18" s="78"/>
      <c r="BP18" s="65"/>
      <c r="BQ18" s="104"/>
      <c r="BR18" s="64"/>
      <c r="BS18" s="78"/>
      <c r="BT18" s="65"/>
      <c r="BU18" s="104"/>
      <c r="BV18" s="64"/>
      <c r="BW18" s="78"/>
      <c r="BX18" s="65"/>
      <c r="BY18" s="104"/>
      <c r="BZ18" s="64"/>
      <c r="CA18" s="78"/>
      <c r="CB18" s="65"/>
      <c r="CC18" s="104"/>
      <c r="CD18" s="64"/>
      <c r="CE18" s="78"/>
      <c r="CF18" s="65"/>
      <c r="CG18" s="104"/>
      <c r="CH18" s="64"/>
      <c r="CI18" s="78"/>
      <c r="CJ18" s="65"/>
      <c r="CK18" s="104"/>
      <c r="CL18" s="64"/>
      <c r="CM18" s="78"/>
      <c r="CN18" s="65"/>
      <c r="CO18" s="104"/>
      <c r="CP18" s="64"/>
      <c r="CQ18" s="78"/>
      <c r="CR18" s="65"/>
      <c r="CS18" s="104"/>
      <c r="CT18" s="64"/>
      <c r="CU18" s="78"/>
      <c r="CV18" s="65"/>
      <c r="CW18" s="104"/>
      <c r="CX18" s="64"/>
      <c r="CY18" s="78"/>
      <c r="CZ18" s="65"/>
      <c r="DA18" s="104"/>
      <c r="DB18" s="64"/>
      <c r="DC18" s="78"/>
      <c r="DD18" s="65"/>
      <c r="DE18" s="104"/>
      <c r="DF18" s="64"/>
      <c r="DG18" s="78"/>
      <c r="DH18" s="65"/>
      <c r="DI18" s="104"/>
      <c r="DJ18" s="64"/>
      <c r="DK18" s="78"/>
      <c r="DL18" s="65"/>
      <c r="DM18" s="104"/>
      <c r="DN18" s="64"/>
      <c r="DO18" s="78"/>
      <c r="DP18" s="65"/>
      <c r="DQ18" s="104"/>
      <c r="DR18" s="64"/>
      <c r="DS18" s="78"/>
      <c r="DT18" s="65"/>
      <c r="DU18" s="104"/>
      <c r="DV18" s="64"/>
      <c r="DW18" s="78"/>
      <c r="DX18" s="65"/>
      <c r="DY18" s="104"/>
      <c r="DZ18" s="64"/>
      <c r="EA18" s="78"/>
      <c r="EB18" s="65"/>
      <c r="EC18" s="104"/>
      <c r="ED18" s="64"/>
      <c r="EE18" s="78"/>
      <c r="EF18" s="65"/>
      <c r="EG18" s="104"/>
      <c r="EH18" s="64"/>
      <c r="EI18" s="78"/>
      <c r="EJ18" s="65"/>
      <c r="EK18" s="104"/>
      <c r="EL18" s="64"/>
      <c r="EM18" s="78"/>
      <c r="EN18" s="65"/>
      <c r="EO18" s="104"/>
      <c r="EP18" s="64"/>
      <c r="EQ18" s="78"/>
      <c r="ER18" s="65"/>
      <c r="ES18" s="104"/>
      <c r="ET18" s="64"/>
      <c r="EU18" s="78"/>
      <c r="EV18" s="65"/>
      <c r="EW18" s="104"/>
      <c r="EX18" s="64"/>
      <c r="EY18" s="78"/>
      <c r="EZ18" s="65"/>
      <c r="FA18" s="104"/>
      <c r="FB18" s="64"/>
      <c r="FC18" s="78"/>
      <c r="FD18" s="65"/>
      <c r="FE18" s="104"/>
      <c r="FF18" s="64"/>
      <c r="FG18" s="78"/>
      <c r="FH18" s="65"/>
      <c r="FI18" s="104"/>
      <c r="FJ18" s="64"/>
      <c r="FK18" s="78"/>
      <c r="FL18" s="65"/>
      <c r="FM18" s="104"/>
      <c r="FN18" s="64"/>
      <c r="FO18" s="78"/>
      <c r="FP18" s="65"/>
      <c r="FQ18" s="104"/>
      <c r="FR18" s="64"/>
      <c r="FS18" s="78"/>
      <c r="FT18" s="65"/>
      <c r="FU18" s="104"/>
      <c r="FV18" s="64"/>
      <c r="FW18" s="78"/>
      <c r="FX18" s="65"/>
      <c r="FY18" s="104"/>
      <c r="FZ18" s="64"/>
      <c r="GA18" s="78"/>
      <c r="GB18" s="65"/>
      <c r="GC18" s="104"/>
      <c r="GD18" s="64"/>
      <c r="GE18" s="78"/>
      <c r="GF18" s="65"/>
      <c r="GG18" s="104"/>
      <c r="GH18" s="64"/>
      <c r="GI18" s="78"/>
      <c r="GJ18" s="65"/>
      <c r="GK18" s="104"/>
      <c r="GL18" s="64"/>
      <c r="GM18" s="78"/>
      <c r="GN18" s="65"/>
      <c r="GO18" s="104"/>
      <c r="GP18" s="64"/>
      <c r="GQ18" s="78"/>
      <c r="GR18" s="65"/>
      <c r="GS18" s="104"/>
      <c r="GT18" s="64"/>
      <c r="GU18" s="78"/>
      <c r="GV18" s="65"/>
      <c r="GW18" s="104"/>
      <c r="GX18" s="64"/>
      <c r="GY18" s="78"/>
      <c r="GZ18" s="65"/>
      <c r="HA18" s="104"/>
      <c r="HB18" s="64"/>
      <c r="HC18" s="78"/>
      <c r="HD18" s="65"/>
      <c r="HE18" s="104"/>
      <c r="HF18" s="64"/>
      <c r="HG18" s="78"/>
      <c r="HH18" s="65"/>
      <c r="HI18" s="104"/>
      <c r="HJ18" s="64"/>
      <c r="HK18" s="78"/>
      <c r="HL18" s="65"/>
      <c r="HM18" s="104"/>
      <c r="HN18" s="64"/>
      <c r="HO18" s="78"/>
      <c r="HP18" s="65"/>
      <c r="HQ18" s="104"/>
      <c r="HR18" s="64"/>
      <c r="HS18" s="78"/>
      <c r="HT18" s="65"/>
      <c r="HU18" s="104"/>
      <c r="HV18" s="64"/>
      <c r="HW18" s="78"/>
      <c r="HX18" s="65"/>
      <c r="HY18" s="104"/>
      <c r="HZ18" s="64"/>
      <c r="IA18" s="78"/>
      <c r="IB18" s="65"/>
      <c r="IC18" s="104"/>
      <c r="ID18" s="64"/>
      <c r="IE18" s="78"/>
      <c r="IF18" s="65"/>
      <c r="IG18" s="104"/>
      <c r="IH18" s="64"/>
      <c r="II18" s="78"/>
      <c r="IJ18" s="65"/>
      <c r="IK18" s="104"/>
      <c r="IL18" s="64"/>
      <c r="IM18" s="78"/>
      <c r="IN18" s="65"/>
      <c r="IO18" s="104"/>
      <c r="IP18" s="64"/>
      <c r="IQ18" s="78"/>
      <c r="IR18" s="65"/>
      <c r="IS18" s="104"/>
      <c r="IT18" s="64"/>
      <c r="IU18" s="78"/>
      <c r="IV18" s="65"/>
    </row>
    <row r="19" spans="1:256" ht="12.75">
      <c r="A19" s="128" t="s">
        <v>127</v>
      </c>
      <c r="B19" s="138">
        <v>2.1</v>
      </c>
      <c r="C19" s="127" t="s">
        <v>128</v>
      </c>
      <c r="D19" s="63" t="s">
        <v>104</v>
      </c>
      <c r="E19" s="133"/>
      <c r="F19" s="171">
        <v>2</v>
      </c>
      <c r="G19" s="59" t="s">
        <v>107</v>
      </c>
      <c r="L19"/>
      <c r="M19"/>
      <c r="N19" s="120"/>
      <c r="O19" s="118"/>
      <c r="P19" s="65"/>
      <c r="Q19" s="105"/>
      <c r="R19" s="106"/>
      <c r="S19" s="78"/>
      <c r="T19" s="65"/>
      <c r="U19" s="105"/>
      <c r="V19" s="106"/>
      <c r="W19" s="78"/>
      <c r="X19" s="65"/>
      <c r="Y19" s="105"/>
      <c r="Z19" s="106"/>
      <c r="AA19" s="78"/>
      <c r="AB19" s="65"/>
      <c r="AC19" s="105"/>
      <c r="AD19" s="106"/>
      <c r="AE19" s="78"/>
      <c r="AF19" s="65"/>
      <c r="AG19" s="105"/>
      <c r="AH19" s="106"/>
      <c r="AI19" s="78"/>
      <c r="AJ19" s="65"/>
      <c r="AK19" s="105"/>
      <c r="AL19" s="106"/>
      <c r="AM19" s="78"/>
      <c r="AN19" s="65"/>
      <c r="AO19" s="105"/>
      <c r="AP19" s="106"/>
      <c r="AQ19" s="78"/>
      <c r="AR19" s="65"/>
      <c r="AS19" s="105"/>
      <c r="AT19" s="106"/>
      <c r="AU19" s="78"/>
      <c r="AV19" s="65"/>
      <c r="AW19" s="105"/>
      <c r="AX19" s="106"/>
      <c r="AY19" s="78"/>
      <c r="AZ19" s="65"/>
      <c r="BA19" s="105"/>
      <c r="BB19" s="106"/>
      <c r="BC19" s="78"/>
      <c r="BD19" s="65"/>
      <c r="BE19" s="105"/>
      <c r="BF19" s="106"/>
      <c r="BG19" s="78"/>
      <c r="BH19" s="65"/>
      <c r="BI19" s="105"/>
      <c r="BJ19" s="106"/>
      <c r="BK19" s="78"/>
      <c r="BL19" s="65"/>
      <c r="BM19" s="105"/>
      <c r="BN19" s="106"/>
      <c r="BO19" s="78"/>
      <c r="BP19" s="65"/>
      <c r="BQ19" s="105"/>
      <c r="BR19" s="106"/>
      <c r="BS19" s="78"/>
      <c r="BT19" s="65"/>
      <c r="BU19" s="105"/>
      <c r="BV19" s="106"/>
      <c r="BW19" s="78"/>
      <c r="BX19" s="65"/>
      <c r="BY19" s="105"/>
      <c r="BZ19" s="106"/>
      <c r="CA19" s="78"/>
      <c r="CB19" s="65"/>
      <c r="CC19" s="105"/>
      <c r="CD19" s="106"/>
      <c r="CE19" s="78"/>
      <c r="CF19" s="65"/>
      <c r="CG19" s="105"/>
      <c r="CH19" s="106"/>
      <c r="CI19" s="78"/>
      <c r="CJ19" s="65"/>
      <c r="CK19" s="105"/>
      <c r="CL19" s="106"/>
      <c r="CM19" s="78"/>
      <c r="CN19" s="65"/>
      <c r="CO19" s="105"/>
      <c r="CP19" s="106"/>
      <c r="CQ19" s="78"/>
      <c r="CR19" s="65"/>
      <c r="CS19" s="105"/>
      <c r="CT19" s="106"/>
      <c r="CU19" s="78"/>
      <c r="CV19" s="65"/>
      <c r="CW19" s="105"/>
      <c r="CX19" s="106"/>
      <c r="CY19" s="78"/>
      <c r="CZ19" s="65"/>
      <c r="DA19" s="105"/>
      <c r="DB19" s="106"/>
      <c r="DC19" s="78"/>
      <c r="DD19" s="65"/>
      <c r="DE19" s="105"/>
      <c r="DF19" s="106"/>
      <c r="DG19" s="78"/>
      <c r="DH19" s="65"/>
      <c r="DI19" s="105"/>
      <c r="DJ19" s="106"/>
      <c r="DK19" s="78"/>
      <c r="DL19" s="65"/>
      <c r="DM19" s="105"/>
      <c r="DN19" s="106"/>
      <c r="DO19" s="78"/>
      <c r="DP19" s="65"/>
      <c r="DQ19" s="105"/>
      <c r="DR19" s="106"/>
      <c r="DS19" s="78"/>
      <c r="DT19" s="65"/>
      <c r="DU19" s="105"/>
      <c r="DV19" s="106"/>
      <c r="DW19" s="78"/>
      <c r="DX19" s="65"/>
      <c r="DY19" s="105"/>
      <c r="DZ19" s="106"/>
      <c r="EA19" s="78"/>
      <c r="EB19" s="65"/>
      <c r="EC19" s="105"/>
      <c r="ED19" s="106"/>
      <c r="EE19" s="78"/>
      <c r="EF19" s="65"/>
      <c r="EG19" s="105"/>
      <c r="EH19" s="106"/>
      <c r="EI19" s="78"/>
      <c r="EJ19" s="65"/>
      <c r="EK19" s="105"/>
      <c r="EL19" s="106"/>
      <c r="EM19" s="78"/>
      <c r="EN19" s="65"/>
      <c r="EO19" s="105"/>
      <c r="EP19" s="106"/>
      <c r="EQ19" s="78"/>
      <c r="ER19" s="65"/>
      <c r="ES19" s="105"/>
      <c r="ET19" s="106"/>
      <c r="EU19" s="78"/>
      <c r="EV19" s="65"/>
      <c r="EW19" s="105"/>
      <c r="EX19" s="106"/>
      <c r="EY19" s="78"/>
      <c r="EZ19" s="65"/>
      <c r="FA19" s="105"/>
      <c r="FB19" s="106"/>
      <c r="FC19" s="78"/>
      <c r="FD19" s="65"/>
      <c r="FE19" s="105"/>
      <c r="FF19" s="106"/>
      <c r="FG19" s="78"/>
      <c r="FH19" s="65"/>
      <c r="FI19" s="105"/>
      <c r="FJ19" s="106"/>
      <c r="FK19" s="78"/>
      <c r="FL19" s="65"/>
      <c r="FM19" s="105"/>
      <c r="FN19" s="106"/>
      <c r="FO19" s="78"/>
      <c r="FP19" s="65"/>
      <c r="FQ19" s="105"/>
      <c r="FR19" s="106"/>
      <c r="FS19" s="78"/>
      <c r="FT19" s="65"/>
      <c r="FU19" s="105"/>
      <c r="FV19" s="106"/>
      <c r="FW19" s="78"/>
      <c r="FX19" s="65"/>
      <c r="FY19" s="105"/>
      <c r="FZ19" s="106"/>
      <c r="GA19" s="78"/>
      <c r="GB19" s="65"/>
      <c r="GC19" s="105"/>
      <c r="GD19" s="106"/>
      <c r="GE19" s="78"/>
      <c r="GF19" s="65"/>
      <c r="GG19" s="105"/>
      <c r="GH19" s="106"/>
      <c r="GI19" s="78"/>
      <c r="GJ19" s="65"/>
      <c r="GK19" s="105"/>
      <c r="GL19" s="106"/>
      <c r="GM19" s="78"/>
      <c r="GN19" s="65"/>
      <c r="GO19" s="105"/>
      <c r="GP19" s="106"/>
      <c r="GQ19" s="78"/>
      <c r="GR19" s="65"/>
      <c r="GS19" s="105"/>
      <c r="GT19" s="106"/>
      <c r="GU19" s="78"/>
      <c r="GV19" s="65"/>
      <c r="GW19" s="105"/>
      <c r="GX19" s="106"/>
      <c r="GY19" s="78"/>
      <c r="GZ19" s="65"/>
      <c r="HA19" s="105"/>
      <c r="HB19" s="106"/>
      <c r="HC19" s="78"/>
      <c r="HD19" s="65"/>
      <c r="HE19" s="105"/>
      <c r="HF19" s="106"/>
      <c r="HG19" s="78"/>
      <c r="HH19" s="65"/>
      <c r="HI19" s="105"/>
      <c r="HJ19" s="106"/>
      <c r="HK19" s="78"/>
      <c r="HL19" s="65"/>
      <c r="HM19" s="105"/>
      <c r="HN19" s="106"/>
      <c r="HO19" s="78"/>
      <c r="HP19" s="65"/>
      <c r="HQ19" s="105"/>
      <c r="HR19" s="106"/>
      <c r="HS19" s="78"/>
      <c r="HT19" s="65"/>
      <c r="HU19" s="105"/>
      <c r="HV19" s="106"/>
      <c r="HW19" s="78"/>
      <c r="HX19" s="65"/>
      <c r="HY19" s="105"/>
      <c r="HZ19" s="106"/>
      <c r="IA19" s="78"/>
      <c r="IB19" s="65"/>
      <c r="IC19" s="105"/>
      <c r="ID19" s="106"/>
      <c r="IE19" s="78"/>
      <c r="IF19" s="65"/>
      <c r="IG19" s="105"/>
      <c r="IH19" s="106"/>
      <c r="II19" s="78"/>
      <c r="IJ19" s="65"/>
      <c r="IK19" s="105"/>
      <c r="IL19" s="106"/>
      <c r="IM19" s="78"/>
      <c r="IN19" s="65"/>
      <c r="IO19" s="105"/>
      <c r="IP19" s="106"/>
      <c r="IQ19" s="78"/>
      <c r="IR19" s="65"/>
      <c r="IS19" s="105"/>
      <c r="IT19" s="106"/>
      <c r="IU19" s="78"/>
      <c r="IV19" s="65"/>
    </row>
    <row r="20" spans="1:256" s="59" customFormat="1" ht="12.75">
      <c r="A20" s="128" t="s">
        <v>101</v>
      </c>
      <c r="B20" s="139">
        <f>$B$204*B17*B18</f>
        <v>27000</v>
      </c>
      <c r="C20" s="127" t="s">
        <v>73</v>
      </c>
      <c r="D20" s="63" t="s">
        <v>103</v>
      </c>
      <c r="E20" s="133"/>
      <c r="F20" s="171">
        <v>1</v>
      </c>
      <c r="G20" s="59" t="s">
        <v>105</v>
      </c>
      <c r="H20" s="172">
        <f>((B191*B190*B189/B186)*10^-6)/B219</f>
        <v>0.008208556149732617</v>
      </c>
      <c r="I20" s="59" t="s">
        <v>136</v>
      </c>
      <c r="L20"/>
      <c r="M20"/>
      <c r="N20" s="124"/>
      <c r="O20" s="123"/>
      <c r="P20" s="65"/>
      <c r="Q20" s="101"/>
      <c r="R20" s="107"/>
      <c r="S20" s="103"/>
      <c r="T20" s="65"/>
      <c r="U20" s="101"/>
      <c r="V20" s="107"/>
      <c r="W20" s="103"/>
      <c r="X20" s="65"/>
      <c r="Y20" s="101"/>
      <c r="Z20" s="107"/>
      <c r="AA20" s="103"/>
      <c r="AB20" s="65"/>
      <c r="AC20" s="101"/>
      <c r="AD20" s="107"/>
      <c r="AE20" s="103"/>
      <c r="AF20" s="65"/>
      <c r="AG20" s="101"/>
      <c r="AH20" s="107"/>
      <c r="AI20" s="103"/>
      <c r="AJ20" s="65"/>
      <c r="AK20" s="101"/>
      <c r="AL20" s="107"/>
      <c r="AM20" s="103"/>
      <c r="AN20" s="65"/>
      <c r="AO20" s="101"/>
      <c r="AP20" s="107"/>
      <c r="AQ20" s="103"/>
      <c r="AR20" s="65"/>
      <c r="AS20" s="101"/>
      <c r="AT20" s="107"/>
      <c r="AU20" s="103"/>
      <c r="AV20" s="65"/>
      <c r="AW20" s="101"/>
      <c r="AX20" s="107"/>
      <c r="AY20" s="103"/>
      <c r="AZ20" s="65"/>
      <c r="BA20" s="101"/>
      <c r="BB20" s="107"/>
      <c r="BC20" s="103"/>
      <c r="BD20" s="65"/>
      <c r="BE20" s="101"/>
      <c r="BF20" s="107"/>
      <c r="BG20" s="103"/>
      <c r="BH20" s="65"/>
      <c r="BI20" s="101"/>
      <c r="BJ20" s="107"/>
      <c r="BK20" s="103"/>
      <c r="BL20" s="65"/>
      <c r="BM20" s="101"/>
      <c r="BN20" s="107"/>
      <c r="BO20" s="103"/>
      <c r="BP20" s="65"/>
      <c r="BQ20" s="101"/>
      <c r="BR20" s="107"/>
      <c r="BS20" s="103"/>
      <c r="BT20" s="65"/>
      <c r="BU20" s="101"/>
      <c r="BV20" s="107"/>
      <c r="BW20" s="103"/>
      <c r="BX20" s="65"/>
      <c r="BY20" s="101"/>
      <c r="BZ20" s="107"/>
      <c r="CA20" s="103"/>
      <c r="CB20" s="65"/>
      <c r="CC20" s="101"/>
      <c r="CD20" s="107"/>
      <c r="CE20" s="103"/>
      <c r="CF20" s="65"/>
      <c r="CG20" s="101"/>
      <c r="CH20" s="107"/>
      <c r="CI20" s="103"/>
      <c r="CJ20" s="65"/>
      <c r="CK20" s="101"/>
      <c r="CL20" s="107"/>
      <c r="CM20" s="103"/>
      <c r="CN20" s="65"/>
      <c r="CO20" s="101"/>
      <c r="CP20" s="107"/>
      <c r="CQ20" s="103"/>
      <c r="CR20" s="65"/>
      <c r="CS20" s="101"/>
      <c r="CT20" s="107"/>
      <c r="CU20" s="103"/>
      <c r="CV20" s="65"/>
      <c r="CW20" s="101"/>
      <c r="CX20" s="107"/>
      <c r="CY20" s="103"/>
      <c r="CZ20" s="65"/>
      <c r="DA20" s="101"/>
      <c r="DB20" s="107"/>
      <c r="DC20" s="103"/>
      <c r="DD20" s="65"/>
      <c r="DE20" s="101"/>
      <c r="DF20" s="107"/>
      <c r="DG20" s="103"/>
      <c r="DH20" s="65"/>
      <c r="DI20" s="101"/>
      <c r="DJ20" s="107"/>
      <c r="DK20" s="103"/>
      <c r="DL20" s="65"/>
      <c r="DM20" s="101"/>
      <c r="DN20" s="107"/>
      <c r="DO20" s="103"/>
      <c r="DP20" s="65"/>
      <c r="DQ20" s="101"/>
      <c r="DR20" s="107"/>
      <c r="DS20" s="103"/>
      <c r="DT20" s="65"/>
      <c r="DU20" s="101"/>
      <c r="DV20" s="107"/>
      <c r="DW20" s="103"/>
      <c r="DX20" s="65"/>
      <c r="DY20" s="101"/>
      <c r="DZ20" s="107"/>
      <c r="EA20" s="103"/>
      <c r="EB20" s="65"/>
      <c r="EC20" s="101"/>
      <c r="ED20" s="107"/>
      <c r="EE20" s="103"/>
      <c r="EF20" s="65"/>
      <c r="EG20" s="101"/>
      <c r="EH20" s="107"/>
      <c r="EI20" s="103"/>
      <c r="EJ20" s="65"/>
      <c r="EK20" s="101"/>
      <c r="EL20" s="107"/>
      <c r="EM20" s="103"/>
      <c r="EN20" s="65"/>
      <c r="EO20" s="101"/>
      <c r="EP20" s="107"/>
      <c r="EQ20" s="103"/>
      <c r="ER20" s="65"/>
      <c r="ES20" s="101"/>
      <c r="ET20" s="107"/>
      <c r="EU20" s="103"/>
      <c r="EV20" s="65"/>
      <c r="EW20" s="101"/>
      <c r="EX20" s="107"/>
      <c r="EY20" s="103"/>
      <c r="EZ20" s="65"/>
      <c r="FA20" s="101"/>
      <c r="FB20" s="107"/>
      <c r="FC20" s="103"/>
      <c r="FD20" s="65"/>
      <c r="FE20" s="101"/>
      <c r="FF20" s="107"/>
      <c r="FG20" s="103"/>
      <c r="FH20" s="65"/>
      <c r="FI20" s="101"/>
      <c r="FJ20" s="107"/>
      <c r="FK20" s="103"/>
      <c r="FL20" s="65"/>
      <c r="FM20" s="101"/>
      <c r="FN20" s="107"/>
      <c r="FO20" s="103"/>
      <c r="FP20" s="65"/>
      <c r="FQ20" s="101"/>
      <c r="FR20" s="107"/>
      <c r="FS20" s="103"/>
      <c r="FT20" s="65"/>
      <c r="FU20" s="101"/>
      <c r="FV20" s="107"/>
      <c r="FW20" s="103"/>
      <c r="FX20" s="65"/>
      <c r="FY20" s="101"/>
      <c r="FZ20" s="107"/>
      <c r="GA20" s="103"/>
      <c r="GB20" s="65"/>
      <c r="GC20" s="101"/>
      <c r="GD20" s="107"/>
      <c r="GE20" s="103"/>
      <c r="GF20" s="65"/>
      <c r="GG20" s="101"/>
      <c r="GH20" s="107"/>
      <c r="GI20" s="103"/>
      <c r="GJ20" s="65"/>
      <c r="GK20" s="101"/>
      <c r="GL20" s="107"/>
      <c r="GM20" s="103"/>
      <c r="GN20" s="65"/>
      <c r="GO20" s="101"/>
      <c r="GP20" s="107"/>
      <c r="GQ20" s="103"/>
      <c r="GR20" s="65"/>
      <c r="GS20" s="101"/>
      <c r="GT20" s="107"/>
      <c r="GU20" s="103"/>
      <c r="GV20" s="65"/>
      <c r="GW20" s="101"/>
      <c r="GX20" s="107"/>
      <c r="GY20" s="103"/>
      <c r="GZ20" s="65"/>
      <c r="HA20" s="101"/>
      <c r="HB20" s="107"/>
      <c r="HC20" s="103"/>
      <c r="HD20" s="65"/>
      <c r="HE20" s="101"/>
      <c r="HF20" s="107"/>
      <c r="HG20" s="103"/>
      <c r="HH20" s="65"/>
      <c r="HI20" s="101"/>
      <c r="HJ20" s="107"/>
      <c r="HK20" s="103"/>
      <c r="HL20" s="65"/>
      <c r="HM20" s="101"/>
      <c r="HN20" s="107"/>
      <c r="HO20" s="103"/>
      <c r="HP20" s="65"/>
      <c r="HQ20" s="101"/>
      <c r="HR20" s="107"/>
      <c r="HS20" s="103"/>
      <c r="HT20" s="65"/>
      <c r="HU20" s="101"/>
      <c r="HV20" s="107"/>
      <c r="HW20" s="103"/>
      <c r="HX20" s="65"/>
      <c r="HY20" s="101"/>
      <c r="HZ20" s="107"/>
      <c r="IA20" s="103"/>
      <c r="IB20" s="65"/>
      <c r="IC20" s="101"/>
      <c r="ID20" s="107"/>
      <c r="IE20" s="103"/>
      <c r="IF20" s="65"/>
      <c r="IG20" s="101"/>
      <c r="IH20" s="107"/>
      <c r="II20" s="103"/>
      <c r="IJ20" s="65"/>
      <c r="IK20" s="101"/>
      <c r="IL20" s="107"/>
      <c r="IM20" s="103"/>
      <c r="IN20" s="65"/>
      <c r="IO20" s="101"/>
      <c r="IP20" s="107"/>
      <c r="IQ20" s="103"/>
      <c r="IR20" s="65"/>
      <c r="IS20" s="101"/>
      <c r="IT20" s="107"/>
      <c r="IU20" s="103"/>
      <c r="IV20" s="65"/>
    </row>
    <row r="21" spans="1:256" s="59" customFormat="1" ht="12.75">
      <c r="A21" s="128" t="s">
        <v>102</v>
      </c>
      <c r="B21" s="138">
        <v>0.42</v>
      </c>
      <c r="C21" s="127" t="s">
        <v>95</v>
      </c>
      <c r="D21" s="63" t="s">
        <v>114</v>
      </c>
      <c r="E21" s="152"/>
      <c r="F21" s="171">
        <v>2</v>
      </c>
      <c r="G21" s="59" t="s">
        <v>106</v>
      </c>
      <c r="H21" s="59">
        <f>(B189*B190*B191/B188)/B220</f>
        <v>0.17721681202870862</v>
      </c>
      <c r="I21" s="59" t="s">
        <v>50</v>
      </c>
      <c r="L21"/>
      <c r="M21"/>
      <c r="N21" s="121"/>
      <c r="P21" s="65"/>
      <c r="Q21" s="101"/>
      <c r="R21" s="102"/>
      <c r="S21" s="103"/>
      <c r="T21" s="65"/>
      <c r="U21" s="101"/>
      <c r="V21" s="102"/>
      <c r="W21" s="103"/>
      <c r="X21" s="65"/>
      <c r="Y21" s="101"/>
      <c r="Z21" s="102"/>
      <c r="AA21" s="103"/>
      <c r="AB21" s="65"/>
      <c r="AC21" s="101"/>
      <c r="AD21" s="102"/>
      <c r="AE21" s="103"/>
      <c r="AF21" s="65"/>
      <c r="AG21" s="101"/>
      <c r="AH21" s="102"/>
      <c r="AI21" s="103"/>
      <c r="AJ21" s="65"/>
      <c r="AK21" s="101"/>
      <c r="AL21" s="102"/>
      <c r="AM21" s="103"/>
      <c r="AN21" s="65"/>
      <c r="AO21" s="101"/>
      <c r="AP21" s="102"/>
      <c r="AQ21" s="103"/>
      <c r="AR21" s="65"/>
      <c r="AS21" s="101"/>
      <c r="AT21" s="102"/>
      <c r="AU21" s="103"/>
      <c r="AV21" s="65"/>
      <c r="AW21" s="101"/>
      <c r="AX21" s="102"/>
      <c r="AY21" s="103"/>
      <c r="AZ21" s="65"/>
      <c r="BA21" s="101"/>
      <c r="BB21" s="102"/>
      <c r="BC21" s="103"/>
      <c r="BD21" s="65"/>
      <c r="BE21" s="101"/>
      <c r="BF21" s="102"/>
      <c r="BG21" s="103"/>
      <c r="BH21" s="65"/>
      <c r="BI21" s="101"/>
      <c r="BJ21" s="102"/>
      <c r="BK21" s="103"/>
      <c r="BL21" s="65"/>
      <c r="BM21" s="101"/>
      <c r="BN21" s="102"/>
      <c r="BO21" s="103"/>
      <c r="BP21" s="65"/>
      <c r="BQ21" s="101"/>
      <c r="BR21" s="102"/>
      <c r="BS21" s="103"/>
      <c r="BT21" s="65"/>
      <c r="BU21" s="101"/>
      <c r="BV21" s="102"/>
      <c r="BW21" s="103"/>
      <c r="BX21" s="65"/>
      <c r="BY21" s="101"/>
      <c r="BZ21" s="102"/>
      <c r="CA21" s="103"/>
      <c r="CB21" s="65"/>
      <c r="CC21" s="101"/>
      <c r="CD21" s="102"/>
      <c r="CE21" s="103"/>
      <c r="CF21" s="65"/>
      <c r="CG21" s="101"/>
      <c r="CH21" s="102"/>
      <c r="CI21" s="103"/>
      <c r="CJ21" s="65"/>
      <c r="CK21" s="101"/>
      <c r="CL21" s="102"/>
      <c r="CM21" s="103"/>
      <c r="CN21" s="65"/>
      <c r="CO21" s="101"/>
      <c r="CP21" s="102"/>
      <c r="CQ21" s="103"/>
      <c r="CR21" s="65"/>
      <c r="CS21" s="101"/>
      <c r="CT21" s="102"/>
      <c r="CU21" s="103"/>
      <c r="CV21" s="65"/>
      <c r="CW21" s="101"/>
      <c r="CX21" s="102"/>
      <c r="CY21" s="103"/>
      <c r="CZ21" s="65"/>
      <c r="DA21" s="101"/>
      <c r="DB21" s="102"/>
      <c r="DC21" s="103"/>
      <c r="DD21" s="65"/>
      <c r="DE21" s="101"/>
      <c r="DF21" s="102"/>
      <c r="DG21" s="103"/>
      <c r="DH21" s="65"/>
      <c r="DI21" s="101"/>
      <c r="DJ21" s="102"/>
      <c r="DK21" s="103"/>
      <c r="DL21" s="65"/>
      <c r="DM21" s="101"/>
      <c r="DN21" s="102"/>
      <c r="DO21" s="103"/>
      <c r="DP21" s="65"/>
      <c r="DQ21" s="101"/>
      <c r="DR21" s="102"/>
      <c r="DS21" s="103"/>
      <c r="DT21" s="65"/>
      <c r="DU21" s="101"/>
      <c r="DV21" s="102"/>
      <c r="DW21" s="103"/>
      <c r="DX21" s="65"/>
      <c r="DY21" s="101"/>
      <c r="DZ21" s="102"/>
      <c r="EA21" s="103"/>
      <c r="EB21" s="65"/>
      <c r="EC21" s="101"/>
      <c r="ED21" s="102"/>
      <c r="EE21" s="103"/>
      <c r="EF21" s="65"/>
      <c r="EG21" s="101"/>
      <c r="EH21" s="102"/>
      <c r="EI21" s="103"/>
      <c r="EJ21" s="65"/>
      <c r="EK21" s="101"/>
      <c r="EL21" s="102"/>
      <c r="EM21" s="103"/>
      <c r="EN21" s="65"/>
      <c r="EO21" s="101"/>
      <c r="EP21" s="102"/>
      <c r="EQ21" s="103"/>
      <c r="ER21" s="65"/>
      <c r="ES21" s="101"/>
      <c r="ET21" s="102"/>
      <c r="EU21" s="103"/>
      <c r="EV21" s="65"/>
      <c r="EW21" s="101"/>
      <c r="EX21" s="102"/>
      <c r="EY21" s="103"/>
      <c r="EZ21" s="65"/>
      <c r="FA21" s="101"/>
      <c r="FB21" s="102"/>
      <c r="FC21" s="103"/>
      <c r="FD21" s="65"/>
      <c r="FE21" s="101"/>
      <c r="FF21" s="102"/>
      <c r="FG21" s="103"/>
      <c r="FH21" s="65"/>
      <c r="FI21" s="101"/>
      <c r="FJ21" s="102"/>
      <c r="FK21" s="103"/>
      <c r="FL21" s="65"/>
      <c r="FM21" s="101"/>
      <c r="FN21" s="102"/>
      <c r="FO21" s="103"/>
      <c r="FP21" s="65"/>
      <c r="FQ21" s="101"/>
      <c r="FR21" s="102"/>
      <c r="FS21" s="103"/>
      <c r="FT21" s="65"/>
      <c r="FU21" s="101"/>
      <c r="FV21" s="102"/>
      <c r="FW21" s="103"/>
      <c r="FX21" s="65"/>
      <c r="FY21" s="101"/>
      <c r="FZ21" s="102"/>
      <c r="GA21" s="103"/>
      <c r="GB21" s="65"/>
      <c r="GC21" s="101"/>
      <c r="GD21" s="102"/>
      <c r="GE21" s="103"/>
      <c r="GF21" s="65"/>
      <c r="GG21" s="101"/>
      <c r="GH21" s="102"/>
      <c r="GI21" s="103"/>
      <c r="GJ21" s="65"/>
      <c r="GK21" s="101"/>
      <c r="GL21" s="102"/>
      <c r="GM21" s="103"/>
      <c r="GN21" s="65"/>
      <c r="GO21" s="101"/>
      <c r="GP21" s="102"/>
      <c r="GQ21" s="103"/>
      <c r="GR21" s="65"/>
      <c r="GS21" s="101"/>
      <c r="GT21" s="102"/>
      <c r="GU21" s="103"/>
      <c r="GV21" s="65"/>
      <c r="GW21" s="101"/>
      <c r="GX21" s="102"/>
      <c r="GY21" s="103"/>
      <c r="GZ21" s="65"/>
      <c r="HA21" s="101"/>
      <c r="HB21" s="102"/>
      <c r="HC21" s="103"/>
      <c r="HD21" s="65"/>
      <c r="HE21" s="101"/>
      <c r="HF21" s="102"/>
      <c r="HG21" s="103"/>
      <c r="HH21" s="65"/>
      <c r="HI21" s="101"/>
      <c r="HJ21" s="102"/>
      <c r="HK21" s="103"/>
      <c r="HL21" s="65"/>
      <c r="HM21" s="101"/>
      <c r="HN21" s="102"/>
      <c r="HO21" s="103"/>
      <c r="HP21" s="65"/>
      <c r="HQ21" s="101"/>
      <c r="HR21" s="102"/>
      <c r="HS21" s="103"/>
      <c r="HT21" s="65"/>
      <c r="HU21" s="101"/>
      <c r="HV21" s="102"/>
      <c r="HW21" s="103"/>
      <c r="HX21" s="65"/>
      <c r="HY21" s="101"/>
      <c r="HZ21" s="102"/>
      <c r="IA21" s="103"/>
      <c r="IB21" s="65"/>
      <c r="IC21" s="101"/>
      <c r="ID21" s="102"/>
      <c r="IE21" s="103"/>
      <c r="IF21" s="65"/>
      <c r="IG21" s="101"/>
      <c r="IH21" s="102"/>
      <c r="II21" s="103"/>
      <c r="IJ21" s="65"/>
      <c r="IK21" s="101"/>
      <c r="IL21" s="102"/>
      <c r="IM21" s="103"/>
      <c r="IN21" s="65"/>
      <c r="IO21" s="101"/>
      <c r="IP21" s="102"/>
      <c r="IQ21" s="103"/>
      <c r="IR21" s="65"/>
      <c r="IS21" s="101"/>
      <c r="IT21" s="102"/>
      <c r="IU21" s="103"/>
      <c r="IV21" s="65"/>
    </row>
    <row r="22" spans="1:256" s="59" customFormat="1" ht="12.75">
      <c r="A22" s="128" t="s">
        <v>130</v>
      </c>
      <c r="B22" s="139">
        <f>B20*$H$22</f>
        <v>4784.853924775132</v>
      </c>
      <c r="C22" s="127" t="str">
        <f>$I$22</f>
        <v>kWh</v>
      </c>
      <c r="D22" s="63" t="s">
        <v>103</v>
      </c>
      <c r="E22" s="133"/>
      <c r="F22" s="171"/>
      <c r="G22" s="59" t="s">
        <v>113</v>
      </c>
      <c r="H22" s="59">
        <f>VLOOKUP(F19,F20:H21,3)</f>
        <v>0.17721681202870862</v>
      </c>
      <c r="I22" s="59" t="str">
        <f>VLOOKUP(F19,F20:I21,4)</f>
        <v>kWh</v>
      </c>
      <c r="L22" s="117"/>
      <c r="M22" s="119"/>
      <c r="N22" s="121"/>
      <c r="P22" s="65"/>
      <c r="Q22" s="101"/>
      <c r="R22" s="102"/>
      <c r="S22" s="103"/>
      <c r="T22" s="65"/>
      <c r="U22" s="101"/>
      <c r="V22" s="102"/>
      <c r="W22" s="103"/>
      <c r="X22" s="65"/>
      <c r="Y22" s="101"/>
      <c r="Z22" s="102"/>
      <c r="AA22" s="103"/>
      <c r="AB22" s="65"/>
      <c r="AC22" s="101"/>
      <c r="AD22" s="102"/>
      <c r="AE22" s="103"/>
      <c r="AF22" s="65"/>
      <c r="AG22" s="101"/>
      <c r="AH22" s="102"/>
      <c r="AI22" s="103"/>
      <c r="AJ22" s="65"/>
      <c r="AK22" s="101"/>
      <c r="AL22" s="102"/>
      <c r="AM22" s="103"/>
      <c r="AN22" s="65"/>
      <c r="AO22" s="101"/>
      <c r="AP22" s="102"/>
      <c r="AQ22" s="103"/>
      <c r="AR22" s="65"/>
      <c r="AS22" s="101"/>
      <c r="AT22" s="102"/>
      <c r="AU22" s="103"/>
      <c r="AV22" s="65"/>
      <c r="AW22" s="101"/>
      <c r="AX22" s="102"/>
      <c r="AY22" s="103"/>
      <c r="AZ22" s="65"/>
      <c r="BA22" s="101"/>
      <c r="BB22" s="102"/>
      <c r="BC22" s="103"/>
      <c r="BD22" s="65"/>
      <c r="BE22" s="101"/>
      <c r="BF22" s="102"/>
      <c r="BG22" s="103"/>
      <c r="BH22" s="65"/>
      <c r="BI22" s="101"/>
      <c r="BJ22" s="102"/>
      <c r="BK22" s="103"/>
      <c r="BL22" s="65"/>
      <c r="BM22" s="101"/>
      <c r="BN22" s="102"/>
      <c r="BO22" s="103"/>
      <c r="BP22" s="65"/>
      <c r="BQ22" s="101"/>
      <c r="BR22" s="102"/>
      <c r="BS22" s="103"/>
      <c r="BT22" s="65"/>
      <c r="BU22" s="101"/>
      <c r="BV22" s="102"/>
      <c r="BW22" s="103"/>
      <c r="BX22" s="65"/>
      <c r="BY22" s="101"/>
      <c r="BZ22" s="102"/>
      <c r="CA22" s="103"/>
      <c r="CB22" s="65"/>
      <c r="CC22" s="101"/>
      <c r="CD22" s="102"/>
      <c r="CE22" s="103"/>
      <c r="CF22" s="65"/>
      <c r="CG22" s="101"/>
      <c r="CH22" s="102"/>
      <c r="CI22" s="103"/>
      <c r="CJ22" s="65"/>
      <c r="CK22" s="101"/>
      <c r="CL22" s="102"/>
      <c r="CM22" s="103"/>
      <c r="CN22" s="65"/>
      <c r="CO22" s="101"/>
      <c r="CP22" s="102"/>
      <c r="CQ22" s="103"/>
      <c r="CR22" s="65"/>
      <c r="CS22" s="101"/>
      <c r="CT22" s="102"/>
      <c r="CU22" s="103"/>
      <c r="CV22" s="65"/>
      <c r="CW22" s="101"/>
      <c r="CX22" s="102"/>
      <c r="CY22" s="103"/>
      <c r="CZ22" s="65"/>
      <c r="DA22" s="101"/>
      <c r="DB22" s="102"/>
      <c r="DC22" s="103"/>
      <c r="DD22" s="65"/>
      <c r="DE22" s="101"/>
      <c r="DF22" s="102"/>
      <c r="DG22" s="103"/>
      <c r="DH22" s="65"/>
      <c r="DI22" s="101"/>
      <c r="DJ22" s="102"/>
      <c r="DK22" s="103"/>
      <c r="DL22" s="65"/>
      <c r="DM22" s="101"/>
      <c r="DN22" s="102"/>
      <c r="DO22" s="103"/>
      <c r="DP22" s="65"/>
      <c r="DQ22" s="101"/>
      <c r="DR22" s="102"/>
      <c r="DS22" s="103"/>
      <c r="DT22" s="65"/>
      <c r="DU22" s="101"/>
      <c r="DV22" s="102"/>
      <c r="DW22" s="103"/>
      <c r="DX22" s="65"/>
      <c r="DY22" s="101"/>
      <c r="DZ22" s="102"/>
      <c r="EA22" s="103"/>
      <c r="EB22" s="65"/>
      <c r="EC22" s="101"/>
      <c r="ED22" s="102"/>
      <c r="EE22" s="103"/>
      <c r="EF22" s="65"/>
      <c r="EG22" s="101"/>
      <c r="EH22" s="102"/>
      <c r="EI22" s="103"/>
      <c r="EJ22" s="65"/>
      <c r="EK22" s="101"/>
      <c r="EL22" s="102"/>
      <c r="EM22" s="103"/>
      <c r="EN22" s="65"/>
      <c r="EO22" s="101"/>
      <c r="EP22" s="102"/>
      <c r="EQ22" s="103"/>
      <c r="ER22" s="65"/>
      <c r="ES22" s="101"/>
      <c r="ET22" s="102"/>
      <c r="EU22" s="103"/>
      <c r="EV22" s="65"/>
      <c r="EW22" s="101"/>
      <c r="EX22" s="102"/>
      <c r="EY22" s="103"/>
      <c r="EZ22" s="65"/>
      <c r="FA22" s="101"/>
      <c r="FB22" s="102"/>
      <c r="FC22" s="103"/>
      <c r="FD22" s="65"/>
      <c r="FE22" s="101"/>
      <c r="FF22" s="102"/>
      <c r="FG22" s="103"/>
      <c r="FH22" s="65"/>
      <c r="FI22" s="101"/>
      <c r="FJ22" s="102"/>
      <c r="FK22" s="103"/>
      <c r="FL22" s="65"/>
      <c r="FM22" s="101"/>
      <c r="FN22" s="102"/>
      <c r="FO22" s="103"/>
      <c r="FP22" s="65"/>
      <c r="FQ22" s="101"/>
      <c r="FR22" s="102"/>
      <c r="FS22" s="103"/>
      <c r="FT22" s="65"/>
      <c r="FU22" s="101"/>
      <c r="FV22" s="102"/>
      <c r="FW22" s="103"/>
      <c r="FX22" s="65"/>
      <c r="FY22" s="101"/>
      <c r="FZ22" s="102"/>
      <c r="GA22" s="103"/>
      <c r="GB22" s="65"/>
      <c r="GC22" s="101"/>
      <c r="GD22" s="102"/>
      <c r="GE22" s="103"/>
      <c r="GF22" s="65"/>
      <c r="GG22" s="101"/>
      <c r="GH22" s="102"/>
      <c r="GI22" s="103"/>
      <c r="GJ22" s="65"/>
      <c r="GK22" s="101"/>
      <c r="GL22" s="102"/>
      <c r="GM22" s="103"/>
      <c r="GN22" s="65"/>
      <c r="GO22" s="101"/>
      <c r="GP22" s="102"/>
      <c r="GQ22" s="103"/>
      <c r="GR22" s="65"/>
      <c r="GS22" s="101"/>
      <c r="GT22" s="102"/>
      <c r="GU22" s="103"/>
      <c r="GV22" s="65"/>
      <c r="GW22" s="101"/>
      <c r="GX22" s="102"/>
      <c r="GY22" s="103"/>
      <c r="GZ22" s="65"/>
      <c r="HA22" s="101"/>
      <c r="HB22" s="102"/>
      <c r="HC22" s="103"/>
      <c r="HD22" s="65"/>
      <c r="HE22" s="101"/>
      <c r="HF22" s="102"/>
      <c r="HG22" s="103"/>
      <c r="HH22" s="65"/>
      <c r="HI22" s="101"/>
      <c r="HJ22" s="102"/>
      <c r="HK22" s="103"/>
      <c r="HL22" s="65"/>
      <c r="HM22" s="101"/>
      <c r="HN22" s="102"/>
      <c r="HO22" s="103"/>
      <c r="HP22" s="65"/>
      <c r="HQ22" s="101"/>
      <c r="HR22" s="102"/>
      <c r="HS22" s="103"/>
      <c r="HT22" s="65"/>
      <c r="HU22" s="101"/>
      <c r="HV22" s="102"/>
      <c r="HW22" s="103"/>
      <c r="HX22" s="65"/>
      <c r="HY22" s="101"/>
      <c r="HZ22" s="102"/>
      <c r="IA22" s="103"/>
      <c r="IB22" s="65"/>
      <c r="IC22" s="101"/>
      <c r="ID22" s="102"/>
      <c r="IE22" s="103"/>
      <c r="IF22" s="65"/>
      <c r="IG22" s="101"/>
      <c r="IH22" s="102"/>
      <c r="II22" s="103"/>
      <c r="IJ22" s="65"/>
      <c r="IK22" s="101"/>
      <c r="IL22" s="102"/>
      <c r="IM22" s="103"/>
      <c r="IN22" s="65"/>
      <c r="IO22" s="101"/>
      <c r="IP22" s="102"/>
      <c r="IQ22" s="103"/>
      <c r="IR22" s="65"/>
      <c r="IS22" s="101"/>
      <c r="IT22" s="102"/>
      <c r="IU22" s="103"/>
      <c r="IV22" s="65"/>
    </row>
    <row r="23" spans="1:256" s="59" customFormat="1" ht="12.75">
      <c r="A23" s="128" t="s">
        <v>131</v>
      </c>
      <c r="B23" s="139">
        <f>B20*$H$17</f>
        <v>2734.202242728647</v>
      </c>
      <c r="C23" s="127" t="str">
        <f>$I$17</f>
        <v>kWh</v>
      </c>
      <c r="D23" s="63" t="s">
        <v>103</v>
      </c>
      <c r="E23" s="133"/>
      <c r="F23" s="110"/>
      <c r="G23" s="66"/>
      <c r="L23" s="117"/>
      <c r="M23" s="119"/>
      <c r="N23" s="121"/>
      <c r="P23" s="65"/>
      <c r="Q23" s="101"/>
      <c r="R23" s="102"/>
      <c r="S23" s="103"/>
      <c r="T23" s="65"/>
      <c r="U23" s="101"/>
      <c r="V23" s="102"/>
      <c r="W23" s="103"/>
      <c r="X23" s="65"/>
      <c r="Y23" s="101"/>
      <c r="Z23" s="102"/>
      <c r="AA23" s="103"/>
      <c r="AB23" s="65"/>
      <c r="AC23" s="101"/>
      <c r="AD23" s="102"/>
      <c r="AE23" s="103"/>
      <c r="AF23" s="65"/>
      <c r="AG23" s="101"/>
      <c r="AH23" s="102"/>
      <c r="AI23" s="103"/>
      <c r="AJ23" s="65"/>
      <c r="AK23" s="101"/>
      <c r="AL23" s="102"/>
      <c r="AM23" s="103"/>
      <c r="AN23" s="65"/>
      <c r="AO23" s="101"/>
      <c r="AP23" s="102"/>
      <c r="AQ23" s="103"/>
      <c r="AR23" s="65"/>
      <c r="AS23" s="101"/>
      <c r="AT23" s="102"/>
      <c r="AU23" s="103"/>
      <c r="AV23" s="65"/>
      <c r="AW23" s="101"/>
      <c r="AX23" s="102"/>
      <c r="AY23" s="103"/>
      <c r="AZ23" s="65"/>
      <c r="BA23" s="101"/>
      <c r="BB23" s="102"/>
      <c r="BC23" s="103"/>
      <c r="BD23" s="65"/>
      <c r="BE23" s="101"/>
      <c r="BF23" s="102"/>
      <c r="BG23" s="103"/>
      <c r="BH23" s="65"/>
      <c r="BI23" s="101"/>
      <c r="BJ23" s="102"/>
      <c r="BK23" s="103"/>
      <c r="BL23" s="65"/>
      <c r="BM23" s="101"/>
      <c r="BN23" s="102"/>
      <c r="BO23" s="103"/>
      <c r="BP23" s="65"/>
      <c r="BQ23" s="101"/>
      <c r="BR23" s="102"/>
      <c r="BS23" s="103"/>
      <c r="BT23" s="65"/>
      <c r="BU23" s="101"/>
      <c r="BV23" s="102"/>
      <c r="BW23" s="103"/>
      <c r="BX23" s="65"/>
      <c r="BY23" s="101"/>
      <c r="BZ23" s="102"/>
      <c r="CA23" s="103"/>
      <c r="CB23" s="65"/>
      <c r="CC23" s="101"/>
      <c r="CD23" s="102"/>
      <c r="CE23" s="103"/>
      <c r="CF23" s="65"/>
      <c r="CG23" s="101"/>
      <c r="CH23" s="102"/>
      <c r="CI23" s="103"/>
      <c r="CJ23" s="65"/>
      <c r="CK23" s="101"/>
      <c r="CL23" s="102"/>
      <c r="CM23" s="103"/>
      <c r="CN23" s="65"/>
      <c r="CO23" s="101"/>
      <c r="CP23" s="102"/>
      <c r="CQ23" s="103"/>
      <c r="CR23" s="65"/>
      <c r="CS23" s="101"/>
      <c r="CT23" s="102"/>
      <c r="CU23" s="103"/>
      <c r="CV23" s="65"/>
      <c r="CW23" s="101"/>
      <c r="CX23" s="102"/>
      <c r="CY23" s="103"/>
      <c r="CZ23" s="65"/>
      <c r="DA23" s="101"/>
      <c r="DB23" s="102"/>
      <c r="DC23" s="103"/>
      <c r="DD23" s="65"/>
      <c r="DE23" s="101"/>
      <c r="DF23" s="102"/>
      <c r="DG23" s="103"/>
      <c r="DH23" s="65"/>
      <c r="DI23" s="101"/>
      <c r="DJ23" s="102"/>
      <c r="DK23" s="103"/>
      <c r="DL23" s="65"/>
      <c r="DM23" s="101"/>
      <c r="DN23" s="102"/>
      <c r="DO23" s="103"/>
      <c r="DP23" s="65"/>
      <c r="DQ23" s="101"/>
      <c r="DR23" s="102"/>
      <c r="DS23" s="103"/>
      <c r="DT23" s="65"/>
      <c r="DU23" s="101"/>
      <c r="DV23" s="102"/>
      <c r="DW23" s="103"/>
      <c r="DX23" s="65"/>
      <c r="DY23" s="101"/>
      <c r="DZ23" s="102"/>
      <c r="EA23" s="103"/>
      <c r="EB23" s="65"/>
      <c r="EC23" s="101"/>
      <c r="ED23" s="102"/>
      <c r="EE23" s="103"/>
      <c r="EF23" s="65"/>
      <c r="EG23" s="101"/>
      <c r="EH23" s="102"/>
      <c r="EI23" s="103"/>
      <c r="EJ23" s="65"/>
      <c r="EK23" s="101"/>
      <c r="EL23" s="102"/>
      <c r="EM23" s="103"/>
      <c r="EN23" s="65"/>
      <c r="EO23" s="101"/>
      <c r="EP23" s="102"/>
      <c r="EQ23" s="103"/>
      <c r="ER23" s="65"/>
      <c r="ES23" s="101"/>
      <c r="ET23" s="102"/>
      <c r="EU23" s="103"/>
      <c r="EV23" s="65"/>
      <c r="EW23" s="101"/>
      <c r="EX23" s="102"/>
      <c r="EY23" s="103"/>
      <c r="EZ23" s="65"/>
      <c r="FA23" s="101"/>
      <c r="FB23" s="102"/>
      <c r="FC23" s="103"/>
      <c r="FD23" s="65"/>
      <c r="FE23" s="101"/>
      <c r="FF23" s="102"/>
      <c r="FG23" s="103"/>
      <c r="FH23" s="65"/>
      <c r="FI23" s="101"/>
      <c r="FJ23" s="102"/>
      <c r="FK23" s="103"/>
      <c r="FL23" s="65"/>
      <c r="FM23" s="101"/>
      <c r="FN23" s="102"/>
      <c r="FO23" s="103"/>
      <c r="FP23" s="65"/>
      <c r="FQ23" s="101"/>
      <c r="FR23" s="102"/>
      <c r="FS23" s="103"/>
      <c r="FT23" s="65"/>
      <c r="FU23" s="101"/>
      <c r="FV23" s="102"/>
      <c r="FW23" s="103"/>
      <c r="FX23" s="65"/>
      <c r="FY23" s="101"/>
      <c r="FZ23" s="102"/>
      <c r="GA23" s="103"/>
      <c r="GB23" s="65"/>
      <c r="GC23" s="101"/>
      <c r="GD23" s="102"/>
      <c r="GE23" s="103"/>
      <c r="GF23" s="65"/>
      <c r="GG23" s="101"/>
      <c r="GH23" s="102"/>
      <c r="GI23" s="103"/>
      <c r="GJ23" s="65"/>
      <c r="GK23" s="101"/>
      <c r="GL23" s="102"/>
      <c r="GM23" s="103"/>
      <c r="GN23" s="65"/>
      <c r="GO23" s="101"/>
      <c r="GP23" s="102"/>
      <c r="GQ23" s="103"/>
      <c r="GR23" s="65"/>
      <c r="GS23" s="101"/>
      <c r="GT23" s="102"/>
      <c r="GU23" s="103"/>
      <c r="GV23" s="65"/>
      <c r="GW23" s="101"/>
      <c r="GX23" s="102"/>
      <c r="GY23" s="103"/>
      <c r="GZ23" s="65"/>
      <c r="HA23" s="101"/>
      <c r="HB23" s="102"/>
      <c r="HC23" s="103"/>
      <c r="HD23" s="65"/>
      <c r="HE23" s="101"/>
      <c r="HF23" s="102"/>
      <c r="HG23" s="103"/>
      <c r="HH23" s="65"/>
      <c r="HI23" s="101"/>
      <c r="HJ23" s="102"/>
      <c r="HK23" s="103"/>
      <c r="HL23" s="65"/>
      <c r="HM23" s="101"/>
      <c r="HN23" s="102"/>
      <c r="HO23" s="103"/>
      <c r="HP23" s="65"/>
      <c r="HQ23" s="101"/>
      <c r="HR23" s="102"/>
      <c r="HS23" s="103"/>
      <c r="HT23" s="65"/>
      <c r="HU23" s="101"/>
      <c r="HV23" s="102"/>
      <c r="HW23" s="103"/>
      <c r="HX23" s="65"/>
      <c r="HY23" s="101"/>
      <c r="HZ23" s="102"/>
      <c r="IA23" s="103"/>
      <c r="IB23" s="65"/>
      <c r="IC23" s="101"/>
      <c r="ID23" s="102"/>
      <c r="IE23" s="103"/>
      <c r="IF23" s="65"/>
      <c r="IG23" s="101"/>
      <c r="IH23" s="102"/>
      <c r="II23" s="103"/>
      <c r="IJ23" s="65"/>
      <c r="IK23" s="101"/>
      <c r="IL23" s="102"/>
      <c r="IM23" s="103"/>
      <c r="IN23" s="65"/>
      <c r="IO23" s="101"/>
      <c r="IP23" s="102"/>
      <c r="IQ23" s="103"/>
      <c r="IR23" s="65"/>
      <c r="IS23" s="101"/>
      <c r="IT23" s="102"/>
      <c r="IU23" s="103"/>
      <c r="IV23" s="65"/>
    </row>
    <row r="24" spans="1:256" s="59" customFormat="1" ht="12.75">
      <c r="A24" s="128" t="s">
        <v>129</v>
      </c>
      <c r="B24" s="139">
        <f>B21*($B$204*$B$203-$B$204*B17*B19/60)</f>
        <v>2324.7</v>
      </c>
      <c r="C24" s="127" t="s">
        <v>50</v>
      </c>
      <c r="D24" s="63" t="s">
        <v>103</v>
      </c>
      <c r="E24" s="133"/>
      <c r="F24" s="109"/>
      <c r="G24" s="66"/>
      <c r="L24" s="117"/>
      <c r="M24" s="117"/>
      <c r="N24" s="117"/>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c r="DC24" s="60"/>
      <c r="DD24" s="60"/>
      <c r="DE24" s="60"/>
      <c r="DF24" s="60"/>
      <c r="DG24" s="60"/>
      <c r="DH24" s="60"/>
      <c r="DI24" s="60"/>
      <c r="DJ24" s="60"/>
      <c r="DK24" s="60"/>
      <c r="DL24" s="60"/>
      <c r="DM24" s="60"/>
      <c r="DN24" s="60"/>
      <c r="DO24" s="60"/>
      <c r="DP24" s="60"/>
      <c r="DQ24" s="60"/>
      <c r="DR24" s="60"/>
      <c r="DS24" s="60"/>
      <c r="DT24" s="60"/>
      <c r="DU24" s="60"/>
      <c r="DV24" s="60"/>
      <c r="DW24" s="60"/>
      <c r="DX24" s="60"/>
      <c r="DY24" s="60"/>
      <c r="DZ24" s="60"/>
      <c r="EA24" s="60"/>
      <c r="EB24" s="60"/>
      <c r="EC24" s="60"/>
      <c r="ED24" s="60"/>
      <c r="EE24" s="60"/>
      <c r="EF24" s="60"/>
      <c r="EG24" s="60"/>
      <c r="EH24" s="60"/>
      <c r="EI24" s="60"/>
      <c r="EJ24" s="60"/>
      <c r="EK24" s="60"/>
      <c r="EL24" s="60"/>
      <c r="EM24" s="60"/>
      <c r="EN24" s="60"/>
      <c r="EO24" s="60"/>
      <c r="EP24" s="60"/>
      <c r="EQ24" s="60"/>
      <c r="ER24" s="60"/>
      <c r="ES24" s="60"/>
      <c r="ET24" s="60"/>
      <c r="EU24" s="60"/>
      <c r="EV24" s="60"/>
      <c r="EW24" s="60"/>
      <c r="EX24" s="60"/>
      <c r="EY24" s="60"/>
      <c r="EZ24" s="60"/>
      <c r="FA24" s="60"/>
      <c r="FB24" s="60"/>
      <c r="FC24" s="60"/>
      <c r="FD24" s="60"/>
      <c r="FE24" s="60"/>
      <c r="FF24" s="60"/>
      <c r="FG24" s="60"/>
      <c r="FH24" s="60"/>
      <c r="FI24" s="60"/>
      <c r="FJ24" s="60"/>
      <c r="FK24" s="60"/>
      <c r="FL24" s="60"/>
      <c r="FM24" s="60"/>
      <c r="FN24" s="60"/>
      <c r="FO24" s="60"/>
      <c r="FP24" s="60"/>
      <c r="FQ24" s="60"/>
      <c r="FR24" s="60"/>
      <c r="FS24" s="60"/>
      <c r="FT24" s="60"/>
      <c r="FU24" s="60"/>
      <c r="FV24" s="60"/>
      <c r="FW24" s="60"/>
      <c r="FX24" s="60"/>
      <c r="FY24" s="60"/>
      <c r="FZ24" s="60"/>
      <c r="GA24" s="60"/>
      <c r="GB24" s="60"/>
      <c r="GC24" s="60"/>
      <c r="GD24" s="60"/>
      <c r="GE24" s="60"/>
      <c r="GF24" s="60"/>
      <c r="GG24" s="60"/>
      <c r="GH24" s="60"/>
      <c r="GI24" s="60"/>
      <c r="GJ24" s="60"/>
      <c r="GK24" s="60"/>
      <c r="GL24" s="60"/>
      <c r="GM24" s="60"/>
      <c r="GN24" s="60"/>
      <c r="GO24" s="60"/>
      <c r="GP24" s="60"/>
      <c r="GQ24" s="60"/>
      <c r="GR24" s="60"/>
      <c r="GS24" s="60"/>
      <c r="GT24" s="60"/>
      <c r="GU24" s="60"/>
      <c r="GV24" s="60"/>
      <c r="GW24" s="60"/>
      <c r="GX24" s="60"/>
      <c r="GY24" s="60"/>
      <c r="GZ24" s="60"/>
      <c r="HA24" s="60"/>
      <c r="HB24" s="60"/>
      <c r="HC24" s="60"/>
      <c r="HD24" s="60"/>
      <c r="HE24" s="60"/>
      <c r="HF24" s="60"/>
      <c r="HG24" s="60"/>
      <c r="HH24" s="60"/>
      <c r="HI24" s="60"/>
      <c r="HJ24" s="60"/>
      <c r="HK24" s="60"/>
      <c r="HL24" s="60"/>
      <c r="HM24" s="60"/>
      <c r="HN24" s="60"/>
      <c r="HO24" s="60"/>
      <c r="HP24" s="60"/>
      <c r="HQ24" s="60"/>
      <c r="HR24" s="60"/>
      <c r="HS24" s="60"/>
      <c r="HT24" s="60"/>
      <c r="HU24" s="60"/>
      <c r="HV24" s="60"/>
      <c r="HW24" s="60"/>
      <c r="HX24" s="60"/>
      <c r="HY24" s="60"/>
      <c r="HZ24" s="60"/>
      <c r="IA24" s="60"/>
      <c r="IB24" s="60"/>
      <c r="IC24" s="60"/>
      <c r="ID24" s="60"/>
      <c r="IE24" s="60"/>
      <c r="IF24" s="60"/>
      <c r="IG24" s="60"/>
      <c r="IH24" s="60"/>
      <c r="II24" s="60"/>
      <c r="IJ24" s="60"/>
      <c r="IK24" s="60"/>
      <c r="IL24" s="60"/>
      <c r="IM24" s="60"/>
      <c r="IN24" s="60"/>
      <c r="IO24" s="60"/>
      <c r="IP24" s="60"/>
      <c r="IQ24" s="60"/>
      <c r="IR24" s="60"/>
      <c r="IS24" s="60"/>
      <c r="IT24" s="60"/>
      <c r="IU24" s="60"/>
      <c r="IV24" s="60"/>
    </row>
    <row r="25" spans="1:256" s="59" customFormat="1" ht="12.75">
      <c r="A25" s="128" t="s">
        <v>48</v>
      </c>
      <c r="B25" s="144">
        <v>6000</v>
      </c>
      <c r="C25" s="127"/>
      <c r="D25" s="63" t="s">
        <v>138</v>
      </c>
      <c r="E25" s="133"/>
      <c r="F25" s="101"/>
      <c r="G25" s="66"/>
      <c r="L25" s="117"/>
      <c r="M25" s="117"/>
      <c r="N25" s="117"/>
      <c r="O25" s="117"/>
      <c r="P25" s="65"/>
      <c r="Q25" s="65"/>
      <c r="R25" s="65"/>
      <c r="S25" s="65"/>
      <c r="T25" s="65"/>
      <c r="U25" s="65"/>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c r="BM25" s="66"/>
      <c r="BN25" s="66"/>
      <c r="BO25" s="66"/>
      <c r="BP25" s="66"/>
      <c r="BQ25" s="66"/>
      <c r="BR25" s="66"/>
      <c r="BS25" s="66"/>
      <c r="BT25" s="66"/>
      <c r="BU25" s="66"/>
      <c r="BV25" s="66"/>
      <c r="BW25" s="66"/>
      <c r="BX25" s="66"/>
      <c r="BY25" s="66"/>
      <c r="BZ25" s="66"/>
      <c r="CA25" s="66"/>
      <c r="CB25" s="66"/>
      <c r="CC25" s="66"/>
      <c r="CD25" s="66"/>
      <c r="CE25" s="66"/>
      <c r="CF25" s="66"/>
      <c r="CG25" s="66"/>
      <c r="CH25" s="66"/>
      <c r="CI25" s="66"/>
      <c r="CJ25" s="66"/>
      <c r="CK25" s="66"/>
      <c r="CL25" s="66"/>
      <c r="CM25" s="66"/>
      <c r="CN25" s="66"/>
      <c r="CO25" s="66"/>
      <c r="CP25" s="66"/>
      <c r="CQ25" s="66"/>
      <c r="CR25" s="66"/>
      <c r="CS25" s="66"/>
      <c r="CT25" s="66"/>
      <c r="CU25" s="66"/>
      <c r="CV25" s="66"/>
      <c r="CW25" s="66"/>
      <c r="CX25" s="66"/>
      <c r="CY25" s="66"/>
      <c r="CZ25" s="66"/>
      <c r="DA25" s="66"/>
      <c r="DB25" s="66"/>
      <c r="DC25" s="66"/>
      <c r="DD25" s="66"/>
      <c r="DE25" s="66"/>
      <c r="DF25" s="66"/>
      <c r="DG25" s="66"/>
      <c r="DH25" s="66"/>
      <c r="DI25" s="66"/>
      <c r="DJ25" s="66"/>
      <c r="DK25" s="66"/>
      <c r="DL25" s="66"/>
      <c r="DM25" s="66"/>
      <c r="DN25" s="66"/>
      <c r="DO25" s="66"/>
      <c r="DP25" s="66"/>
      <c r="DQ25" s="66"/>
      <c r="DR25" s="66"/>
      <c r="DS25" s="66"/>
      <c r="DT25" s="66"/>
      <c r="DU25" s="66"/>
      <c r="DV25" s="66"/>
      <c r="DW25" s="66"/>
      <c r="DX25" s="66"/>
      <c r="DY25" s="66"/>
      <c r="DZ25" s="66"/>
      <c r="EA25" s="66"/>
      <c r="EB25" s="66"/>
      <c r="EC25" s="66"/>
      <c r="ED25" s="66"/>
      <c r="EE25" s="66"/>
      <c r="EF25" s="66"/>
      <c r="EG25" s="66"/>
      <c r="EH25" s="66"/>
      <c r="EI25" s="66"/>
      <c r="EJ25" s="66"/>
      <c r="EK25" s="66"/>
      <c r="EL25" s="66"/>
      <c r="EM25" s="66"/>
      <c r="EN25" s="66"/>
      <c r="EO25" s="66"/>
      <c r="EP25" s="66"/>
      <c r="EQ25" s="66"/>
      <c r="ER25" s="66"/>
      <c r="ES25" s="66"/>
      <c r="ET25" s="66"/>
      <c r="EU25" s="66"/>
      <c r="EV25" s="66"/>
      <c r="EW25" s="66"/>
      <c r="EX25" s="66"/>
      <c r="EY25" s="66"/>
      <c r="EZ25" s="66"/>
      <c r="FA25" s="66"/>
      <c r="FB25" s="66"/>
      <c r="FC25" s="66"/>
      <c r="FD25" s="66"/>
      <c r="FE25" s="66"/>
      <c r="FF25" s="66"/>
      <c r="FG25" s="66"/>
      <c r="FH25" s="66"/>
      <c r="FI25" s="66"/>
      <c r="FJ25" s="66"/>
      <c r="FK25" s="66"/>
      <c r="FL25" s="66"/>
      <c r="FM25" s="66"/>
      <c r="FN25" s="66"/>
      <c r="FO25" s="66"/>
      <c r="FP25" s="66"/>
      <c r="FQ25" s="66"/>
      <c r="FR25" s="66"/>
      <c r="FS25" s="66"/>
      <c r="FT25" s="66"/>
      <c r="FU25" s="66"/>
      <c r="FV25" s="66"/>
      <c r="FW25" s="66"/>
      <c r="FX25" s="66"/>
      <c r="FY25" s="66"/>
      <c r="FZ25" s="66"/>
      <c r="GA25" s="66"/>
      <c r="GB25" s="66"/>
      <c r="GC25" s="66"/>
      <c r="GD25" s="66"/>
      <c r="GE25" s="66"/>
      <c r="GF25" s="66"/>
      <c r="GG25" s="66"/>
      <c r="GH25" s="66"/>
      <c r="GI25" s="66"/>
      <c r="GJ25" s="66"/>
      <c r="GK25" s="66"/>
      <c r="GL25" s="66"/>
      <c r="GM25" s="66"/>
      <c r="GN25" s="66"/>
      <c r="GO25" s="66"/>
      <c r="GP25" s="66"/>
      <c r="GQ25" s="66"/>
      <c r="GR25" s="66"/>
      <c r="GS25" s="66"/>
      <c r="GT25" s="66"/>
      <c r="GU25" s="66"/>
      <c r="GV25" s="66"/>
      <c r="GW25" s="66"/>
      <c r="GX25" s="66"/>
      <c r="GY25" s="66"/>
      <c r="GZ25" s="66"/>
      <c r="HA25" s="66"/>
      <c r="HB25" s="66"/>
      <c r="HC25" s="66"/>
      <c r="HD25" s="66"/>
      <c r="HE25" s="66"/>
      <c r="HF25" s="66"/>
      <c r="HG25" s="66"/>
      <c r="HH25" s="66"/>
      <c r="HI25" s="66"/>
      <c r="HJ25" s="66"/>
      <c r="HK25" s="66"/>
      <c r="HL25" s="66"/>
      <c r="HM25" s="66"/>
      <c r="HN25" s="66"/>
      <c r="HO25" s="66"/>
      <c r="HP25" s="66"/>
      <c r="HQ25" s="66"/>
      <c r="HR25" s="66"/>
      <c r="HS25" s="66"/>
      <c r="HT25" s="66"/>
      <c r="HU25" s="66"/>
      <c r="HV25" s="66"/>
      <c r="HW25" s="66"/>
      <c r="HX25" s="66"/>
      <c r="HY25" s="66"/>
      <c r="HZ25" s="66"/>
      <c r="IA25" s="66"/>
      <c r="IB25" s="66"/>
      <c r="IC25" s="66"/>
      <c r="ID25" s="66"/>
      <c r="IE25" s="66"/>
      <c r="IF25" s="66"/>
      <c r="IG25" s="66"/>
      <c r="IH25" s="66"/>
      <c r="II25" s="66"/>
      <c r="IJ25" s="66"/>
      <c r="IK25" s="66"/>
      <c r="IL25" s="66"/>
      <c r="IM25" s="66"/>
      <c r="IN25" s="66"/>
      <c r="IO25" s="66"/>
      <c r="IP25" s="66"/>
      <c r="IQ25" s="66"/>
      <c r="IR25" s="66"/>
      <c r="IS25" s="66"/>
      <c r="IT25" s="66"/>
      <c r="IU25" s="66"/>
      <c r="IV25" s="66"/>
    </row>
    <row r="26" spans="1:256" ht="12.75">
      <c r="A26" s="128" t="s">
        <v>76</v>
      </c>
      <c r="B26" s="139">
        <v>10</v>
      </c>
      <c r="C26" s="127" t="s">
        <v>77</v>
      </c>
      <c r="D26" s="63" t="s">
        <v>104</v>
      </c>
      <c r="E26" s="133"/>
      <c r="L26" s="65"/>
      <c r="M26" s="65"/>
      <c r="N26" s="65"/>
      <c r="O26" s="65"/>
      <c r="P26" s="65"/>
      <c r="Q26" s="65"/>
      <c r="R26" s="65"/>
      <c r="S26" s="65"/>
      <c r="T26" s="65"/>
      <c r="U26" s="65"/>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6"/>
      <c r="BM26" s="66"/>
      <c r="BN26" s="66"/>
      <c r="BO26" s="66"/>
      <c r="BP26" s="66"/>
      <c r="BQ26" s="66"/>
      <c r="BR26" s="66"/>
      <c r="BS26" s="66"/>
      <c r="BT26" s="66"/>
      <c r="BU26" s="66"/>
      <c r="BV26" s="66"/>
      <c r="BW26" s="66"/>
      <c r="BX26" s="66"/>
      <c r="BY26" s="66"/>
      <c r="BZ26" s="66"/>
      <c r="CA26" s="66"/>
      <c r="CB26" s="66"/>
      <c r="CC26" s="66"/>
      <c r="CD26" s="66"/>
      <c r="CE26" s="66"/>
      <c r="CF26" s="66"/>
      <c r="CG26" s="66"/>
      <c r="CH26" s="66"/>
      <c r="CI26" s="66"/>
      <c r="CJ26" s="66"/>
      <c r="CK26" s="66"/>
      <c r="CL26" s="66"/>
      <c r="CM26" s="66"/>
      <c r="CN26" s="66"/>
      <c r="CO26" s="66"/>
      <c r="CP26" s="66"/>
      <c r="CQ26" s="66"/>
      <c r="CR26" s="66"/>
      <c r="CS26" s="66"/>
      <c r="CT26" s="66"/>
      <c r="CU26" s="66"/>
      <c r="CV26" s="66"/>
      <c r="CW26" s="66"/>
      <c r="CX26" s="66"/>
      <c r="CY26" s="66"/>
      <c r="CZ26" s="66"/>
      <c r="DA26" s="66"/>
      <c r="DB26" s="66"/>
      <c r="DC26" s="66"/>
      <c r="DD26" s="66"/>
      <c r="DE26" s="66"/>
      <c r="DF26" s="66"/>
      <c r="DG26" s="66"/>
      <c r="DH26" s="66"/>
      <c r="DI26" s="66"/>
      <c r="DJ26" s="66"/>
      <c r="DK26" s="66"/>
      <c r="DL26" s="66"/>
      <c r="DM26" s="66"/>
      <c r="DN26" s="66"/>
      <c r="DO26" s="66"/>
      <c r="DP26" s="66"/>
      <c r="DQ26" s="66"/>
      <c r="DR26" s="66"/>
      <c r="DS26" s="66"/>
      <c r="DT26" s="66"/>
      <c r="DU26" s="66"/>
      <c r="DV26" s="66"/>
      <c r="DW26" s="66"/>
      <c r="DX26" s="66"/>
      <c r="DY26" s="66"/>
      <c r="DZ26" s="66"/>
      <c r="EA26" s="66"/>
      <c r="EB26" s="66"/>
      <c r="EC26" s="66"/>
      <c r="ED26" s="66"/>
      <c r="EE26" s="66"/>
      <c r="EF26" s="66"/>
      <c r="EG26" s="66"/>
      <c r="EH26" s="66"/>
      <c r="EI26" s="66"/>
      <c r="EJ26" s="66"/>
      <c r="EK26" s="66"/>
      <c r="EL26" s="66"/>
      <c r="EM26" s="66"/>
      <c r="EN26" s="66"/>
      <c r="EO26" s="66"/>
      <c r="EP26" s="66"/>
      <c r="EQ26" s="66"/>
      <c r="ER26" s="66"/>
      <c r="ES26" s="66"/>
      <c r="ET26" s="66"/>
      <c r="EU26" s="66"/>
      <c r="EV26" s="66"/>
      <c r="EW26" s="66"/>
      <c r="EX26" s="66"/>
      <c r="EY26" s="66"/>
      <c r="EZ26" s="66"/>
      <c r="FA26" s="66"/>
      <c r="FB26" s="66"/>
      <c r="FC26" s="66"/>
      <c r="FD26" s="66"/>
      <c r="FE26" s="66"/>
      <c r="FF26" s="66"/>
      <c r="FG26" s="66"/>
      <c r="FH26" s="66"/>
      <c r="FI26" s="66"/>
      <c r="FJ26" s="66"/>
      <c r="FK26" s="66"/>
      <c r="FL26" s="66"/>
      <c r="FM26" s="66"/>
      <c r="FN26" s="66"/>
      <c r="FO26" s="66"/>
      <c r="FP26" s="66"/>
      <c r="FQ26" s="66"/>
      <c r="FR26" s="66"/>
      <c r="FS26" s="66"/>
      <c r="FT26" s="66"/>
      <c r="FU26" s="66"/>
      <c r="FV26" s="66"/>
      <c r="FW26" s="66"/>
      <c r="FX26" s="66"/>
      <c r="FY26" s="66"/>
      <c r="FZ26" s="66"/>
      <c r="GA26" s="66"/>
      <c r="GB26" s="66"/>
      <c r="GC26" s="66"/>
      <c r="GD26" s="66"/>
      <c r="GE26" s="66"/>
      <c r="GF26" s="66"/>
      <c r="GG26" s="66"/>
      <c r="GH26" s="66"/>
      <c r="GI26" s="66"/>
      <c r="GJ26" s="66"/>
      <c r="GK26" s="66"/>
      <c r="GL26" s="66"/>
      <c r="GM26" s="66"/>
      <c r="GN26" s="66"/>
      <c r="GO26" s="66"/>
      <c r="GP26" s="66"/>
      <c r="GQ26" s="66"/>
      <c r="GR26" s="66"/>
      <c r="GS26" s="66"/>
      <c r="GT26" s="66"/>
      <c r="GU26" s="66"/>
      <c r="GV26" s="66"/>
      <c r="GW26" s="66"/>
      <c r="GX26" s="66"/>
      <c r="GY26" s="66"/>
      <c r="GZ26" s="66"/>
      <c r="HA26" s="66"/>
      <c r="HB26" s="66"/>
      <c r="HC26" s="66"/>
      <c r="HD26" s="66"/>
      <c r="HE26" s="66"/>
      <c r="HF26" s="66"/>
      <c r="HG26" s="66"/>
      <c r="HH26" s="66"/>
      <c r="HI26" s="66"/>
      <c r="HJ26" s="66"/>
      <c r="HK26" s="66"/>
      <c r="HL26" s="66"/>
      <c r="HM26" s="66"/>
      <c r="HN26" s="66"/>
      <c r="HO26" s="66"/>
      <c r="HP26" s="66"/>
      <c r="HQ26" s="66"/>
      <c r="HR26" s="66"/>
      <c r="HS26" s="66"/>
      <c r="HT26" s="66"/>
      <c r="HU26" s="66"/>
      <c r="HV26" s="66"/>
      <c r="HW26" s="66"/>
      <c r="HX26" s="66"/>
      <c r="HY26" s="66"/>
      <c r="HZ26" s="66"/>
      <c r="IA26" s="66"/>
      <c r="IB26" s="66"/>
      <c r="IC26" s="66"/>
      <c r="ID26" s="66"/>
      <c r="IE26" s="66"/>
      <c r="IF26" s="66"/>
      <c r="IG26" s="66"/>
      <c r="IH26" s="66"/>
      <c r="II26" s="66"/>
      <c r="IJ26" s="66"/>
      <c r="IK26" s="66"/>
      <c r="IL26" s="66"/>
      <c r="IM26" s="66"/>
      <c r="IN26" s="66"/>
      <c r="IO26" s="66"/>
      <c r="IP26" s="66"/>
      <c r="IQ26" s="66"/>
      <c r="IR26" s="66"/>
      <c r="IS26" s="66"/>
      <c r="IT26" s="66"/>
      <c r="IU26" s="66"/>
      <c r="IV26" s="66"/>
    </row>
    <row r="27" spans="1:256" s="66" customFormat="1" ht="12.75">
      <c r="A27" s="176" t="s">
        <v>118</v>
      </c>
      <c r="B27" s="177"/>
      <c r="C27" s="178"/>
      <c r="D27" s="179"/>
      <c r="E27" s="133"/>
      <c r="F27" s="65"/>
      <c r="G27" s="59"/>
      <c r="H27" s="59"/>
      <c r="I27" s="59"/>
      <c r="J27" s="59"/>
      <c r="K27" s="59"/>
      <c r="L27" s="59"/>
      <c r="M27" s="59"/>
      <c r="N27" s="59"/>
      <c r="O27" s="59"/>
      <c r="P27" s="59"/>
      <c r="Q27" s="59"/>
      <c r="R27" s="59"/>
      <c r="S27" s="59"/>
      <c r="T27" s="59"/>
      <c r="U27" s="59"/>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c r="DB27" s="60"/>
      <c r="DC27" s="60"/>
      <c r="DD27" s="60"/>
      <c r="DE27" s="60"/>
      <c r="DF27" s="60"/>
      <c r="DG27" s="60"/>
      <c r="DH27" s="60"/>
      <c r="DI27" s="60"/>
      <c r="DJ27" s="60"/>
      <c r="DK27" s="60"/>
      <c r="DL27" s="60"/>
      <c r="DM27" s="60"/>
      <c r="DN27" s="60"/>
      <c r="DO27" s="60"/>
      <c r="DP27" s="60"/>
      <c r="DQ27" s="60"/>
      <c r="DR27" s="60"/>
      <c r="DS27" s="60"/>
      <c r="DT27" s="60"/>
      <c r="DU27" s="60"/>
      <c r="DV27" s="60"/>
      <c r="DW27" s="60"/>
      <c r="DX27" s="60"/>
      <c r="DY27" s="60"/>
      <c r="DZ27" s="60"/>
      <c r="EA27" s="60"/>
      <c r="EB27" s="60"/>
      <c r="EC27" s="60"/>
      <c r="ED27" s="60"/>
      <c r="EE27" s="60"/>
      <c r="EF27" s="60"/>
      <c r="EG27" s="60"/>
      <c r="EH27" s="60"/>
      <c r="EI27" s="60"/>
      <c r="EJ27" s="60"/>
      <c r="EK27" s="60"/>
      <c r="EL27" s="60"/>
      <c r="EM27" s="60"/>
      <c r="EN27" s="60"/>
      <c r="EO27" s="60"/>
      <c r="EP27" s="60"/>
      <c r="EQ27" s="60"/>
      <c r="ER27" s="60"/>
      <c r="ES27" s="60"/>
      <c r="ET27" s="60"/>
      <c r="EU27" s="60"/>
      <c r="EV27" s="60"/>
      <c r="EW27" s="60"/>
      <c r="EX27" s="60"/>
      <c r="EY27" s="60"/>
      <c r="EZ27" s="60"/>
      <c r="FA27" s="60"/>
      <c r="FB27" s="60"/>
      <c r="FC27" s="60"/>
      <c r="FD27" s="60"/>
      <c r="FE27" s="60"/>
      <c r="FF27" s="60"/>
      <c r="FG27" s="60"/>
      <c r="FH27" s="60"/>
      <c r="FI27" s="60"/>
      <c r="FJ27" s="60"/>
      <c r="FK27" s="60"/>
      <c r="FL27" s="60"/>
      <c r="FM27" s="60"/>
      <c r="FN27" s="60"/>
      <c r="FO27" s="60"/>
      <c r="FP27" s="60"/>
      <c r="FQ27" s="60"/>
      <c r="FR27" s="60"/>
      <c r="FS27" s="60"/>
      <c r="FT27" s="60"/>
      <c r="FU27" s="60"/>
      <c r="FV27" s="60"/>
      <c r="FW27" s="60"/>
      <c r="FX27" s="60"/>
      <c r="FY27" s="60"/>
      <c r="FZ27" s="60"/>
      <c r="GA27" s="60"/>
      <c r="GB27" s="60"/>
      <c r="GC27" s="60"/>
      <c r="GD27" s="60"/>
      <c r="GE27" s="60"/>
      <c r="GF27" s="60"/>
      <c r="GG27" s="60"/>
      <c r="GH27" s="60"/>
      <c r="GI27" s="60"/>
      <c r="GJ27" s="60"/>
      <c r="GK27" s="60"/>
      <c r="GL27" s="60"/>
      <c r="GM27" s="60"/>
      <c r="GN27" s="60"/>
      <c r="GO27" s="60"/>
      <c r="GP27" s="60"/>
      <c r="GQ27" s="60"/>
      <c r="GR27" s="60"/>
      <c r="GS27" s="60"/>
      <c r="GT27" s="60"/>
      <c r="GU27" s="60"/>
      <c r="GV27" s="60"/>
      <c r="GW27" s="60"/>
      <c r="GX27" s="60"/>
      <c r="GY27" s="60"/>
      <c r="GZ27" s="60"/>
      <c r="HA27" s="60"/>
      <c r="HB27" s="60"/>
      <c r="HC27" s="60"/>
      <c r="HD27" s="60"/>
      <c r="HE27" s="60"/>
      <c r="HF27" s="60"/>
      <c r="HG27" s="60"/>
      <c r="HH27" s="60"/>
      <c r="HI27" s="60"/>
      <c r="HJ27" s="60"/>
      <c r="HK27" s="60"/>
      <c r="HL27" s="60"/>
      <c r="HM27" s="60"/>
      <c r="HN27" s="60"/>
      <c r="HO27" s="60"/>
      <c r="HP27" s="60"/>
      <c r="HQ27" s="60"/>
      <c r="HR27" s="60"/>
      <c r="HS27" s="60"/>
      <c r="HT27" s="60"/>
      <c r="HU27" s="60"/>
      <c r="HV27" s="60"/>
      <c r="HW27" s="60"/>
      <c r="HX27" s="60"/>
      <c r="HY27" s="60"/>
      <c r="HZ27" s="60"/>
      <c r="IA27" s="60"/>
      <c r="IB27" s="60"/>
      <c r="IC27" s="60"/>
      <c r="ID27" s="60"/>
      <c r="IE27" s="60"/>
      <c r="IF27" s="60"/>
      <c r="IG27" s="60"/>
      <c r="IH27" s="60"/>
      <c r="II27" s="60"/>
      <c r="IJ27" s="60"/>
      <c r="IK27" s="60"/>
      <c r="IL27" s="60"/>
      <c r="IM27" s="60"/>
      <c r="IN27" s="60"/>
      <c r="IO27" s="60"/>
      <c r="IP27" s="60"/>
      <c r="IQ27" s="60"/>
      <c r="IR27" s="60"/>
      <c r="IS27" s="60"/>
      <c r="IT27" s="60"/>
      <c r="IU27" s="60"/>
      <c r="IV27" s="60"/>
    </row>
    <row r="28" spans="1:256" s="66" customFormat="1" ht="12.75">
      <c r="A28" s="128" t="s">
        <v>100</v>
      </c>
      <c r="B28" s="138">
        <v>280</v>
      </c>
      <c r="C28" s="127" t="s">
        <v>144</v>
      </c>
      <c r="D28" s="63" t="s">
        <v>104</v>
      </c>
      <c r="E28" s="133"/>
      <c r="F28" s="65"/>
      <c r="G28" s="59"/>
      <c r="H28" s="59"/>
      <c r="I28" s="59"/>
      <c r="J28" s="59"/>
      <c r="K28" s="59"/>
      <c r="L28" s="59"/>
      <c r="M28" s="59"/>
      <c r="N28" s="59"/>
      <c r="O28" s="59"/>
      <c r="P28" s="59"/>
      <c r="Q28" s="59"/>
      <c r="R28" s="59"/>
      <c r="S28" s="59"/>
      <c r="T28" s="59"/>
      <c r="U28" s="59"/>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c r="DB28" s="60"/>
      <c r="DC28" s="60"/>
      <c r="DD28" s="60"/>
      <c r="DE28" s="60"/>
      <c r="DF28" s="60"/>
      <c r="DG28" s="60"/>
      <c r="DH28" s="60"/>
      <c r="DI28" s="60"/>
      <c r="DJ28" s="60"/>
      <c r="DK28" s="60"/>
      <c r="DL28" s="60"/>
      <c r="DM28" s="60"/>
      <c r="DN28" s="60"/>
      <c r="DO28" s="60"/>
      <c r="DP28" s="60"/>
      <c r="DQ28" s="60"/>
      <c r="DR28" s="60"/>
      <c r="DS28" s="60"/>
      <c r="DT28" s="60"/>
      <c r="DU28" s="60"/>
      <c r="DV28" s="60"/>
      <c r="DW28" s="60"/>
      <c r="DX28" s="60"/>
      <c r="DY28" s="60"/>
      <c r="DZ28" s="60"/>
      <c r="EA28" s="60"/>
      <c r="EB28" s="60"/>
      <c r="EC28" s="60"/>
      <c r="ED28" s="60"/>
      <c r="EE28" s="60"/>
      <c r="EF28" s="60"/>
      <c r="EG28" s="60"/>
      <c r="EH28" s="60"/>
      <c r="EI28" s="60"/>
      <c r="EJ28" s="60"/>
      <c r="EK28" s="60"/>
      <c r="EL28" s="60"/>
      <c r="EM28" s="60"/>
      <c r="EN28" s="60"/>
      <c r="EO28" s="60"/>
      <c r="EP28" s="60"/>
      <c r="EQ28" s="60"/>
      <c r="ER28" s="60"/>
      <c r="ES28" s="60"/>
      <c r="ET28" s="60"/>
      <c r="EU28" s="60"/>
      <c r="EV28" s="60"/>
      <c r="EW28" s="60"/>
      <c r="EX28" s="60"/>
      <c r="EY28" s="60"/>
      <c r="EZ28" s="60"/>
      <c r="FA28" s="60"/>
      <c r="FB28" s="60"/>
      <c r="FC28" s="60"/>
      <c r="FD28" s="60"/>
      <c r="FE28" s="60"/>
      <c r="FF28" s="60"/>
      <c r="FG28" s="60"/>
      <c r="FH28" s="60"/>
      <c r="FI28" s="60"/>
      <c r="FJ28" s="60"/>
      <c r="FK28" s="60"/>
      <c r="FL28" s="60"/>
      <c r="FM28" s="60"/>
      <c r="FN28" s="60"/>
      <c r="FO28" s="60"/>
      <c r="FP28" s="60"/>
      <c r="FQ28" s="60"/>
      <c r="FR28" s="60"/>
      <c r="FS28" s="60"/>
      <c r="FT28" s="60"/>
      <c r="FU28" s="60"/>
      <c r="FV28" s="60"/>
      <c r="FW28" s="60"/>
      <c r="FX28" s="60"/>
      <c r="FY28" s="60"/>
      <c r="FZ28" s="60"/>
      <c r="GA28" s="60"/>
      <c r="GB28" s="60"/>
      <c r="GC28" s="60"/>
      <c r="GD28" s="60"/>
      <c r="GE28" s="60"/>
      <c r="GF28" s="60"/>
      <c r="GG28" s="60"/>
      <c r="GH28" s="60"/>
      <c r="GI28" s="60"/>
      <c r="GJ28" s="60"/>
      <c r="GK28" s="60"/>
      <c r="GL28" s="60"/>
      <c r="GM28" s="60"/>
      <c r="GN28" s="60"/>
      <c r="GO28" s="60"/>
      <c r="GP28" s="60"/>
      <c r="GQ28" s="60"/>
      <c r="GR28" s="60"/>
      <c r="GS28" s="60"/>
      <c r="GT28" s="60"/>
      <c r="GU28" s="60"/>
      <c r="GV28" s="60"/>
      <c r="GW28" s="60"/>
      <c r="GX28" s="60"/>
      <c r="GY28" s="60"/>
      <c r="GZ28" s="60"/>
      <c r="HA28" s="60"/>
      <c r="HB28" s="60"/>
      <c r="HC28" s="60"/>
      <c r="HD28" s="60"/>
      <c r="HE28" s="60"/>
      <c r="HF28" s="60"/>
      <c r="HG28" s="60"/>
      <c r="HH28" s="60"/>
      <c r="HI28" s="60"/>
      <c r="HJ28" s="60"/>
      <c r="HK28" s="60"/>
      <c r="HL28" s="60"/>
      <c r="HM28" s="60"/>
      <c r="HN28" s="60"/>
      <c r="HO28" s="60"/>
      <c r="HP28" s="60"/>
      <c r="HQ28" s="60"/>
      <c r="HR28" s="60"/>
      <c r="HS28" s="60"/>
      <c r="HT28" s="60"/>
      <c r="HU28" s="60"/>
      <c r="HV28" s="60"/>
      <c r="HW28" s="60"/>
      <c r="HX28" s="60"/>
      <c r="HY28" s="60"/>
      <c r="HZ28" s="60"/>
      <c r="IA28" s="60"/>
      <c r="IB28" s="60"/>
      <c r="IC28" s="60"/>
      <c r="ID28" s="60"/>
      <c r="IE28" s="60"/>
      <c r="IF28" s="60"/>
      <c r="IG28" s="60"/>
      <c r="IH28" s="60"/>
      <c r="II28" s="60"/>
      <c r="IJ28" s="60"/>
      <c r="IK28" s="60"/>
      <c r="IL28" s="60"/>
      <c r="IM28" s="60"/>
      <c r="IN28" s="60"/>
      <c r="IO28" s="60"/>
      <c r="IP28" s="60"/>
      <c r="IQ28" s="60"/>
      <c r="IR28" s="60"/>
      <c r="IS28" s="60"/>
      <c r="IT28" s="60"/>
      <c r="IU28" s="60"/>
      <c r="IV28" s="60"/>
    </row>
    <row r="29" spans="1:5" ht="25.5">
      <c r="A29" s="128" t="s">
        <v>74</v>
      </c>
      <c r="B29" s="138">
        <v>1.18</v>
      </c>
      <c r="C29" s="127" t="s">
        <v>73</v>
      </c>
      <c r="D29" s="63" t="s">
        <v>133</v>
      </c>
      <c r="E29" s="133"/>
    </row>
    <row r="30" spans="1:7" ht="12.75">
      <c r="A30" s="128" t="s">
        <v>127</v>
      </c>
      <c r="B30" s="138">
        <v>1.6</v>
      </c>
      <c r="C30" s="127" t="s">
        <v>128</v>
      </c>
      <c r="D30" s="63" t="s">
        <v>78</v>
      </c>
      <c r="E30" s="133"/>
      <c r="F30" s="62"/>
      <c r="G30" s="66"/>
    </row>
    <row r="31" spans="1:7" ht="12.75">
      <c r="A31" s="128" t="s">
        <v>101</v>
      </c>
      <c r="B31" s="139">
        <f>$B$204*B28*B29</f>
        <v>118944</v>
      </c>
      <c r="C31" s="127" t="s">
        <v>73</v>
      </c>
      <c r="D31" s="63" t="s">
        <v>103</v>
      </c>
      <c r="E31" s="133"/>
      <c r="F31" s="62"/>
      <c r="G31" s="66"/>
    </row>
    <row r="32" spans="1:7" ht="12.75">
      <c r="A32" s="128" t="s">
        <v>102</v>
      </c>
      <c r="B32" s="138">
        <v>0.12</v>
      </c>
      <c r="C32" s="127" t="s">
        <v>95</v>
      </c>
      <c r="D32" s="63" t="s">
        <v>114</v>
      </c>
      <c r="E32" s="152"/>
      <c r="G32" s="66"/>
    </row>
    <row r="33" spans="1:7" ht="12.75">
      <c r="A33" s="128" t="s">
        <v>130</v>
      </c>
      <c r="B33" s="139">
        <f>B31*$H$22</f>
        <v>21078.87648994272</v>
      </c>
      <c r="C33" s="127" t="str">
        <f>$I$22</f>
        <v>kWh</v>
      </c>
      <c r="D33" s="63" t="s">
        <v>103</v>
      </c>
      <c r="E33" s="133"/>
      <c r="G33" s="66"/>
    </row>
    <row r="34" spans="1:7" ht="12.75">
      <c r="A34" s="128" t="s">
        <v>131</v>
      </c>
      <c r="B34" s="139">
        <v>0</v>
      </c>
      <c r="C34" s="127" t="str">
        <f>$I$17</f>
        <v>kWh</v>
      </c>
      <c r="D34" s="63" t="s">
        <v>114</v>
      </c>
      <c r="E34" s="133"/>
      <c r="G34" s="66"/>
    </row>
    <row r="35" spans="1:7" ht="12.75">
      <c r="A35" s="128" t="s">
        <v>129</v>
      </c>
      <c r="B35" s="139">
        <f>B32*($B$204*$B$203-$B$204*B28*B30/60)</f>
        <v>455.03999999999996</v>
      </c>
      <c r="C35" s="127" t="s">
        <v>50</v>
      </c>
      <c r="D35" s="63" t="s">
        <v>103</v>
      </c>
      <c r="E35" s="133"/>
      <c r="G35" s="66"/>
    </row>
    <row r="36" spans="1:7" ht="12.75" customHeight="1">
      <c r="A36" s="128" t="s">
        <v>48</v>
      </c>
      <c r="B36" s="144">
        <v>8500</v>
      </c>
      <c r="C36" s="127"/>
      <c r="D36" s="63" t="s">
        <v>138</v>
      </c>
      <c r="E36" s="133"/>
      <c r="G36" s="66"/>
    </row>
    <row r="37" spans="1:7" ht="12.75" customHeight="1">
      <c r="A37" s="128" t="s">
        <v>76</v>
      </c>
      <c r="B37" s="139">
        <v>15</v>
      </c>
      <c r="C37" s="127" t="s">
        <v>77</v>
      </c>
      <c r="D37" s="63" t="s">
        <v>104</v>
      </c>
      <c r="E37" s="133"/>
      <c r="G37" s="66"/>
    </row>
    <row r="38" spans="1:7" ht="12.75">
      <c r="A38" s="176" t="s">
        <v>119</v>
      </c>
      <c r="B38" s="177"/>
      <c r="C38" s="178"/>
      <c r="D38" s="179"/>
      <c r="E38" s="133"/>
      <c r="G38" s="66"/>
    </row>
    <row r="39" spans="1:256" ht="12.75">
      <c r="A39" s="128" t="s">
        <v>100</v>
      </c>
      <c r="B39" s="138">
        <v>280</v>
      </c>
      <c r="C39" s="127" t="s">
        <v>144</v>
      </c>
      <c r="D39" s="63" t="s">
        <v>104</v>
      </c>
      <c r="E39" s="133"/>
      <c r="K39" s="65"/>
      <c r="L39" s="65"/>
      <c r="M39" s="65"/>
      <c r="N39" s="65"/>
      <c r="O39" s="65"/>
      <c r="P39" s="65"/>
      <c r="Q39" s="65"/>
      <c r="R39" s="65"/>
      <c r="S39" s="65"/>
      <c r="T39" s="65"/>
      <c r="U39" s="65"/>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BD39" s="66"/>
      <c r="BE39" s="66"/>
      <c r="BF39" s="66"/>
      <c r="BG39" s="66"/>
      <c r="BH39" s="66"/>
      <c r="BI39" s="66"/>
      <c r="BJ39" s="66"/>
      <c r="BK39" s="66"/>
      <c r="BL39" s="66"/>
      <c r="BM39" s="66"/>
      <c r="BN39" s="66"/>
      <c r="BO39" s="66"/>
      <c r="BP39" s="66"/>
      <c r="BQ39" s="66"/>
      <c r="BR39" s="66"/>
      <c r="BS39" s="66"/>
      <c r="BT39" s="66"/>
      <c r="BU39" s="66"/>
      <c r="BV39" s="66"/>
      <c r="BW39" s="66"/>
      <c r="BX39" s="66"/>
      <c r="BY39" s="66"/>
      <c r="BZ39" s="66"/>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c r="DL39" s="66"/>
      <c r="DM39" s="66"/>
      <c r="DN39" s="66"/>
      <c r="DO39" s="66"/>
      <c r="DP39" s="66"/>
      <c r="DQ39" s="66"/>
      <c r="DR39" s="66"/>
      <c r="DS39" s="66"/>
      <c r="DT39" s="66"/>
      <c r="DU39" s="66"/>
      <c r="DV39" s="66"/>
      <c r="DW39" s="66"/>
      <c r="DX39" s="66"/>
      <c r="DY39" s="66"/>
      <c r="DZ39" s="66"/>
      <c r="EA39" s="66"/>
      <c r="EB39" s="66"/>
      <c r="EC39" s="66"/>
      <c r="ED39" s="66"/>
      <c r="EE39" s="66"/>
      <c r="EF39" s="66"/>
      <c r="EG39" s="66"/>
      <c r="EH39" s="66"/>
      <c r="EI39" s="66"/>
      <c r="EJ39" s="66"/>
      <c r="EK39" s="66"/>
      <c r="EL39" s="66"/>
      <c r="EM39" s="66"/>
      <c r="EN39" s="66"/>
      <c r="EO39" s="66"/>
      <c r="EP39" s="66"/>
      <c r="EQ39" s="66"/>
      <c r="ER39" s="66"/>
      <c r="ES39" s="66"/>
      <c r="ET39" s="66"/>
      <c r="EU39" s="66"/>
      <c r="EV39" s="66"/>
      <c r="EW39" s="66"/>
      <c r="EX39" s="66"/>
      <c r="EY39" s="66"/>
      <c r="EZ39" s="66"/>
      <c r="FA39" s="66"/>
      <c r="FB39" s="66"/>
      <c r="FC39" s="66"/>
      <c r="FD39" s="66"/>
      <c r="FE39" s="66"/>
      <c r="FF39" s="66"/>
      <c r="FG39" s="66"/>
      <c r="FH39" s="66"/>
      <c r="FI39" s="66"/>
      <c r="FJ39" s="66"/>
      <c r="FK39" s="66"/>
      <c r="FL39" s="66"/>
      <c r="FM39" s="66"/>
      <c r="FN39" s="66"/>
      <c r="FO39" s="66"/>
      <c r="FP39" s="66"/>
      <c r="FQ39" s="66"/>
      <c r="FR39" s="66"/>
      <c r="FS39" s="66"/>
      <c r="FT39" s="66"/>
      <c r="FU39" s="66"/>
      <c r="FV39" s="66"/>
      <c r="FW39" s="66"/>
      <c r="FX39" s="66"/>
      <c r="FY39" s="66"/>
      <c r="FZ39" s="66"/>
      <c r="GA39" s="66"/>
      <c r="GB39" s="66"/>
      <c r="GC39" s="66"/>
      <c r="GD39" s="66"/>
      <c r="GE39" s="66"/>
      <c r="GF39" s="66"/>
      <c r="GG39" s="66"/>
      <c r="GH39" s="66"/>
      <c r="GI39" s="66"/>
      <c r="GJ39" s="66"/>
      <c r="GK39" s="66"/>
      <c r="GL39" s="66"/>
      <c r="GM39" s="66"/>
      <c r="GN39" s="66"/>
      <c r="GO39" s="66"/>
      <c r="GP39" s="66"/>
      <c r="GQ39" s="66"/>
      <c r="GR39" s="66"/>
      <c r="GS39" s="66"/>
      <c r="GT39" s="66"/>
      <c r="GU39" s="66"/>
      <c r="GV39" s="66"/>
      <c r="GW39" s="66"/>
      <c r="GX39" s="66"/>
      <c r="GY39" s="66"/>
      <c r="GZ39" s="66"/>
      <c r="HA39" s="66"/>
      <c r="HB39" s="66"/>
      <c r="HC39" s="66"/>
      <c r="HD39" s="66"/>
      <c r="HE39" s="66"/>
      <c r="HF39" s="66"/>
      <c r="HG39" s="66"/>
      <c r="HH39" s="66"/>
      <c r="HI39" s="66"/>
      <c r="HJ39" s="66"/>
      <c r="HK39" s="66"/>
      <c r="HL39" s="66"/>
      <c r="HM39" s="66"/>
      <c r="HN39" s="66"/>
      <c r="HO39" s="66"/>
      <c r="HP39" s="66"/>
      <c r="HQ39" s="66"/>
      <c r="HR39" s="66"/>
      <c r="HS39" s="66"/>
      <c r="HT39" s="66"/>
      <c r="HU39" s="66"/>
      <c r="HV39" s="66"/>
      <c r="HW39" s="66"/>
      <c r="HX39" s="66"/>
      <c r="HY39" s="66"/>
      <c r="HZ39" s="66"/>
      <c r="IA39" s="66"/>
      <c r="IB39" s="66"/>
      <c r="IC39" s="66"/>
      <c r="ID39" s="66"/>
      <c r="IE39" s="66"/>
      <c r="IF39" s="66"/>
      <c r="IG39" s="66"/>
      <c r="IH39" s="66"/>
      <c r="II39" s="66"/>
      <c r="IJ39" s="66"/>
      <c r="IK39" s="66"/>
      <c r="IL39" s="66"/>
      <c r="IM39" s="66"/>
      <c r="IN39" s="66"/>
      <c r="IO39" s="66"/>
      <c r="IP39" s="66"/>
      <c r="IQ39" s="66"/>
      <c r="IR39" s="66"/>
      <c r="IS39" s="66"/>
      <c r="IT39" s="66"/>
      <c r="IU39" s="66"/>
      <c r="IV39" s="66"/>
    </row>
    <row r="40" spans="1:256" ht="25.5">
      <c r="A40" s="128" t="s">
        <v>74</v>
      </c>
      <c r="B40" s="138">
        <v>0.95</v>
      </c>
      <c r="C40" s="127" t="s">
        <v>73</v>
      </c>
      <c r="D40" s="63" t="s">
        <v>133</v>
      </c>
      <c r="E40" s="133"/>
      <c r="K40" s="65"/>
      <c r="L40" s="65"/>
      <c r="M40" s="65"/>
      <c r="N40" s="65"/>
      <c r="O40" s="65"/>
      <c r="P40" s="65"/>
      <c r="Q40" s="65"/>
      <c r="R40" s="65"/>
      <c r="S40" s="65"/>
      <c r="T40" s="65"/>
      <c r="U40" s="65"/>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6"/>
      <c r="BM40" s="66"/>
      <c r="BN40" s="66"/>
      <c r="BO40" s="66"/>
      <c r="BP40" s="66"/>
      <c r="BQ40" s="66"/>
      <c r="BR40" s="66"/>
      <c r="BS40" s="66"/>
      <c r="BT40" s="66"/>
      <c r="BU40" s="66"/>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66"/>
      <c r="DM40" s="66"/>
      <c r="DN40" s="66"/>
      <c r="DO40" s="66"/>
      <c r="DP40" s="66"/>
      <c r="DQ40" s="66"/>
      <c r="DR40" s="66"/>
      <c r="DS40" s="66"/>
      <c r="DT40" s="66"/>
      <c r="DU40" s="66"/>
      <c r="DV40" s="66"/>
      <c r="DW40" s="66"/>
      <c r="DX40" s="66"/>
      <c r="DY40" s="66"/>
      <c r="DZ40" s="66"/>
      <c r="EA40" s="66"/>
      <c r="EB40" s="66"/>
      <c r="EC40" s="66"/>
      <c r="ED40" s="66"/>
      <c r="EE40" s="66"/>
      <c r="EF40" s="66"/>
      <c r="EG40" s="66"/>
      <c r="EH40" s="66"/>
      <c r="EI40" s="66"/>
      <c r="EJ40" s="66"/>
      <c r="EK40" s="66"/>
      <c r="EL40" s="66"/>
      <c r="EM40" s="66"/>
      <c r="EN40" s="66"/>
      <c r="EO40" s="66"/>
      <c r="EP40" s="66"/>
      <c r="EQ40" s="66"/>
      <c r="ER40" s="66"/>
      <c r="ES40" s="66"/>
      <c r="ET40" s="66"/>
      <c r="EU40" s="66"/>
      <c r="EV40" s="66"/>
      <c r="EW40" s="66"/>
      <c r="EX40" s="66"/>
      <c r="EY40" s="66"/>
      <c r="EZ40" s="66"/>
      <c r="FA40" s="66"/>
      <c r="FB40" s="66"/>
      <c r="FC40" s="66"/>
      <c r="FD40" s="66"/>
      <c r="FE40" s="66"/>
      <c r="FF40" s="66"/>
      <c r="FG40" s="66"/>
      <c r="FH40" s="66"/>
      <c r="FI40" s="66"/>
      <c r="FJ40" s="66"/>
      <c r="FK40" s="66"/>
      <c r="FL40" s="66"/>
      <c r="FM40" s="66"/>
      <c r="FN40" s="66"/>
      <c r="FO40" s="66"/>
      <c r="FP40" s="66"/>
      <c r="FQ40" s="66"/>
      <c r="FR40" s="66"/>
      <c r="FS40" s="66"/>
      <c r="FT40" s="66"/>
      <c r="FU40" s="66"/>
      <c r="FV40" s="66"/>
      <c r="FW40" s="66"/>
      <c r="FX40" s="66"/>
      <c r="FY40" s="66"/>
      <c r="FZ40" s="66"/>
      <c r="GA40" s="66"/>
      <c r="GB40" s="66"/>
      <c r="GC40" s="66"/>
      <c r="GD40" s="66"/>
      <c r="GE40" s="66"/>
      <c r="GF40" s="66"/>
      <c r="GG40" s="66"/>
      <c r="GH40" s="66"/>
      <c r="GI40" s="66"/>
      <c r="GJ40" s="66"/>
      <c r="GK40" s="66"/>
      <c r="GL40" s="66"/>
      <c r="GM40" s="66"/>
      <c r="GN40" s="66"/>
      <c r="GO40" s="66"/>
      <c r="GP40" s="66"/>
      <c r="GQ40" s="66"/>
      <c r="GR40" s="66"/>
      <c r="GS40" s="66"/>
      <c r="GT40" s="66"/>
      <c r="GU40" s="66"/>
      <c r="GV40" s="66"/>
      <c r="GW40" s="66"/>
      <c r="GX40" s="66"/>
      <c r="GY40" s="66"/>
      <c r="GZ40" s="66"/>
      <c r="HA40" s="66"/>
      <c r="HB40" s="66"/>
      <c r="HC40" s="66"/>
      <c r="HD40" s="66"/>
      <c r="HE40" s="66"/>
      <c r="HF40" s="66"/>
      <c r="HG40" s="66"/>
      <c r="HH40" s="66"/>
      <c r="HI40" s="66"/>
      <c r="HJ40" s="66"/>
      <c r="HK40" s="66"/>
      <c r="HL40" s="66"/>
      <c r="HM40" s="66"/>
      <c r="HN40" s="66"/>
      <c r="HO40" s="66"/>
      <c r="HP40" s="66"/>
      <c r="HQ40" s="66"/>
      <c r="HR40" s="66"/>
      <c r="HS40" s="66"/>
      <c r="HT40" s="66"/>
      <c r="HU40" s="66"/>
      <c r="HV40" s="66"/>
      <c r="HW40" s="66"/>
      <c r="HX40" s="66"/>
      <c r="HY40" s="66"/>
      <c r="HZ40" s="66"/>
      <c r="IA40" s="66"/>
      <c r="IB40" s="66"/>
      <c r="IC40" s="66"/>
      <c r="ID40" s="66"/>
      <c r="IE40" s="66"/>
      <c r="IF40" s="66"/>
      <c r="IG40" s="66"/>
      <c r="IH40" s="66"/>
      <c r="II40" s="66"/>
      <c r="IJ40" s="66"/>
      <c r="IK40" s="66"/>
      <c r="IL40" s="66"/>
      <c r="IM40" s="66"/>
      <c r="IN40" s="66"/>
      <c r="IO40" s="66"/>
      <c r="IP40" s="66"/>
      <c r="IQ40" s="66"/>
      <c r="IR40" s="66"/>
      <c r="IS40" s="66"/>
      <c r="IT40" s="66"/>
      <c r="IU40" s="66"/>
      <c r="IV40" s="66"/>
    </row>
    <row r="41" spans="1:21" s="66" customFormat="1" ht="12.75">
      <c r="A41" s="128" t="s">
        <v>127</v>
      </c>
      <c r="B41" s="138">
        <v>1.6</v>
      </c>
      <c r="C41" s="127" t="s">
        <v>128</v>
      </c>
      <c r="D41" s="63" t="s">
        <v>78</v>
      </c>
      <c r="E41" s="133"/>
      <c r="F41" s="65"/>
      <c r="G41" s="59"/>
      <c r="H41" s="59"/>
      <c r="I41" s="59"/>
      <c r="J41" s="59"/>
      <c r="K41" s="65"/>
      <c r="L41" s="65"/>
      <c r="M41" s="65"/>
      <c r="N41" s="65"/>
      <c r="O41" s="65"/>
      <c r="P41" s="65"/>
      <c r="Q41" s="65"/>
      <c r="R41" s="65"/>
      <c r="S41" s="65"/>
      <c r="T41" s="65"/>
      <c r="U41" s="65"/>
    </row>
    <row r="42" spans="1:21" s="66" customFormat="1" ht="12.75">
      <c r="A42" s="128" t="s">
        <v>101</v>
      </c>
      <c r="B42" s="139">
        <f>$B$204*B39*B40</f>
        <v>95760</v>
      </c>
      <c r="C42" s="127" t="s">
        <v>73</v>
      </c>
      <c r="D42" s="63" t="s">
        <v>103</v>
      </c>
      <c r="E42" s="152"/>
      <c r="F42" s="65"/>
      <c r="G42" s="59"/>
      <c r="H42" s="59"/>
      <c r="I42" s="59"/>
      <c r="J42" s="59"/>
      <c r="K42" s="65"/>
      <c r="L42" s="65"/>
      <c r="M42" s="65"/>
      <c r="N42" s="65"/>
      <c r="O42" s="65"/>
      <c r="P42" s="65"/>
      <c r="Q42" s="65"/>
      <c r="R42" s="65"/>
      <c r="S42" s="65"/>
      <c r="T42" s="65"/>
      <c r="U42" s="65"/>
    </row>
    <row r="43" spans="1:21" s="66" customFormat="1" ht="12.75">
      <c r="A43" s="128" t="s">
        <v>102</v>
      </c>
      <c r="B43" s="138">
        <v>0.58</v>
      </c>
      <c r="C43" s="127" t="s">
        <v>95</v>
      </c>
      <c r="D43" s="63" t="s">
        <v>114</v>
      </c>
      <c r="E43" s="152"/>
      <c r="F43" s="65"/>
      <c r="G43" s="59"/>
      <c r="H43" s="59"/>
      <c r="I43" s="59"/>
      <c r="J43" s="59"/>
      <c r="K43" s="65"/>
      <c r="L43" s="65"/>
      <c r="M43" s="65"/>
      <c r="N43" s="65"/>
      <c r="O43" s="65"/>
      <c r="P43" s="65"/>
      <c r="Q43" s="65"/>
      <c r="R43" s="65"/>
      <c r="S43" s="65"/>
      <c r="T43" s="65"/>
      <c r="U43" s="65"/>
    </row>
    <row r="44" spans="1:21" s="66" customFormat="1" ht="12.75">
      <c r="A44" s="128" t="s">
        <v>130</v>
      </c>
      <c r="B44" s="139">
        <f>B42*$H$22</f>
        <v>16970.281919869136</v>
      </c>
      <c r="C44" s="127" t="str">
        <f>$I$22</f>
        <v>kWh</v>
      </c>
      <c r="D44" s="63" t="s">
        <v>103</v>
      </c>
      <c r="E44" s="152"/>
      <c r="F44" s="65"/>
      <c r="G44" s="65"/>
      <c r="H44" s="65"/>
      <c r="I44" s="65"/>
      <c r="J44" s="65"/>
      <c r="K44" s="65"/>
      <c r="L44" s="65"/>
      <c r="M44" s="65"/>
      <c r="N44" s="65"/>
      <c r="O44" s="65"/>
      <c r="P44" s="65"/>
      <c r="Q44" s="65"/>
      <c r="R44" s="65"/>
      <c r="S44" s="65"/>
      <c r="T44" s="65"/>
      <c r="U44" s="65"/>
    </row>
    <row r="45" spans="1:256" s="66" customFormat="1" ht="12.75">
      <c r="A45" s="128" t="s">
        <v>131</v>
      </c>
      <c r="B45" s="139">
        <f>B42*$H$17</f>
        <v>9697.303954210935</v>
      </c>
      <c r="C45" s="127" t="str">
        <f>$I$17</f>
        <v>kWh</v>
      </c>
      <c r="D45" s="63" t="s">
        <v>103</v>
      </c>
      <c r="E45" s="152"/>
      <c r="F45" s="65"/>
      <c r="G45" s="65"/>
      <c r="H45" s="65"/>
      <c r="I45" s="65"/>
      <c r="J45" s="65"/>
      <c r="K45" s="59"/>
      <c r="L45" s="59"/>
      <c r="M45" s="59"/>
      <c r="N45" s="59"/>
      <c r="O45" s="59"/>
      <c r="P45" s="59"/>
      <c r="Q45" s="59"/>
      <c r="R45" s="59"/>
      <c r="S45" s="59"/>
      <c r="T45" s="59"/>
      <c r="U45" s="59"/>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c r="BG45" s="60"/>
      <c r="BH45" s="60"/>
      <c r="BI45" s="60"/>
      <c r="BJ45" s="60"/>
      <c r="BK45" s="60"/>
      <c r="BL45" s="60"/>
      <c r="BM45" s="60"/>
      <c r="BN45" s="60"/>
      <c r="BO45" s="60"/>
      <c r="BP45" s="60"/>
      <c r="BQ45" s="60"/>
      <c r="BR45" s="60"/>
      <c r="BS45" s="60"/>
      <c r="BT45" s="60"/>
      <c r="BU45" s="60"/>
      <c r="BV45" s="60"/>
      <c r="BW45" s="60"/>
      <c r="BX45" s="60"/>
      <c r="BY45" s="60"/>
      <c r="BZ45" s="60"/>
      <c r="CA45" s="60"/>
      <c r="CB45" s="60"/>
      <c r="CC45" s="60"/>
      <c r="CD45" s="60"/>
      <c r="CE45" s="60"/>
      <c r="CF45" s="60"/>
      <c r="CG45" s="60"/>
      <c r="CH45" s="60"/>
      <c r="CI45" s="60"/>
      <c r="CJ45" s="60"/>
      <c r="CK45" s="60"/>
      <c r="CL45" s="60"/>
      <c r="CM45" s="60"/>
      <c r="CN45" s="60"/>
      <c r="CO45" s="60"/>
      <c r="CP45" s="60"/>
      <c r="CQ45" s="60"/>
      <c r="CR45" s="60"/>
      <c r="CS45" s="60"/>
      <c r="CT45" s="60"/>
      <c r="CU45" s="60"/>
      <c r="CV45" s="60"/>
      <c r="CW45" s="60"/>
      <c r="CX45" s="60"/>
      <c r="CY45" s="60"/>
      <c r="CZ45" s="60"/>
      <c r="DA45" s="60"/>
      <c r="DB45" s="60"/>
      <c r="DC45" s="60"/>
      <c r="DD45" s="60"/>
      <c r="DE45" s="60"/>
      <c r="DF45" s="60"/>
      <c r="DG45" s="60"/>
      <c r="DH45" s="60"/>
      <c r="DI45" s="60"/>
      <c r="DJ45" s="60"/>
      <c r="DK45" s="60"/>
      <c r="DL45" s="60"/>
      <c r="DM45" s="60"/>
      <c r="DN45" s="60"/>
      <c r="DO45" s="60"/>
      <c r="DP45" s="60"/>
      <c r="DQ45" s="60"/>
      <c r="DR45" s="60"/>
      <c r="DS45" s="60"/>
      <c r="DT45" s="60"/>
      <c r="DU45" s="60"/>
      <c r="DV45" s="60"/>
      <c r="DW45" s="60"/>
      <c r="DX45" s="60"/>
      <c r="DY45" s="60"/>
      <c r="DZ45" s="60"/>
      <c r="EA45" s="60"/>
      <c r="EB45" s="60"/>
      <c r="EC45" s="60"/>
      <c r="ED45" s="60"/>
      <c r="EE45" s="60"/>
      <c r="EF45" s="60"/>
      <c r="EG45" s="60"/>
      <c r="EH45" s="60"/>
      <c r="EI45" s="60"/>
      <c r="EJ45" s="60"/>
      <c r="EK45" s="60"/>
      <c r="EL45" s="60"/>
      <c r="EM45" s="60"/>
      <c r="EN45" s="60"/>
      <c r="EO45" s="60"/>
      <c r="EP45" s="60"/>
      <c r="EQ45" s="60"/>
      <c r="ER45" s="60"/>
      <c r="ES45" s="60"/>
      <c r="ET45" s="60"/>
      <c r="EU45" s="60"/>
      <c r="EV45" s="60"/>
      <c r="EW45" s="60"/>
      <c r="EX45" s="60"/>
      <c r="EY45" s="60"/>
      <c r="EZ45" s="60"/>
      <c r="FA45" s="60"/>
      <c r="FB45" s="60"/>
      <c r="FC45" s="60"/>
      <c r="FD45" s="60"/>
      <c r="FE45" s="60"/>
      <c r="FF45" s="60"/>
      <c r="FG45" s="60"/>
      <c r="FH45" s="60"/>
      <c r="FI45" s="60"/>
      <c r="FJ45" s="60"/>
      <c r="FK45" s="60"/>
      <c r="FL45" s="60"/>
      <c r="FM45" s="60"/>
      <c r="FN45" s="60"/>
      <c r="FO45" s="60"/>
      <c r="FP45" s="60"/>
      <c r="FQ45" s="60"/>
      <c r="FR45" s="60"/>
      <c r="FS45" s="60"/>
      <c r="FT45" s="60"/>
      <c r="FU45" s="60"/>
      <c r="FV45" s="60"/>
      <c r="FW45" s="60"/>
      <c r="FX45" s="60"/>
      <c r="FY45" s="60"/>
      <c r="FZ45" s="60"/>
      <c r="GA45" s="60"/>
      <c r="GB45" s="60"/>
      <c r="GC45" s="60"/>
      <c r="GD45" s="60"/>
      <c r="GE45" s="60"/>
      <c r="GF45" s="60"/>
      <c r="GG45" s="60"/>
      <c r="GH45" s="60"/>
      <c r="GI45" s="60"/>
      <c r="GJ45" s="60"/>
      <c r="GK45" s="60"/>
      <c r="GL45" s="60"/>
      <c r="GM45" s="60"/>
      <c r="GN45" s="60"/>
      <c r="GO45" s="60"/>
      <c r="GP45" s="60"/>
      <c r="GQ45" s="60"/>
      <c r="GR45" s="60"/>
      <c r="GS45" s="60"/>
      <c r="GT45" s="60"/>
      <c r="GU45" s="60"/>
      <c r="GV45" s="60"/>
      <c r="GW45" s="60"/>
      <c r="GX45" s="60"/>
      <c r="GY45" s="60"/>
      <c r="GZ45" s="60"/>
      <c r="HA45" s="60"/>
      <c r="HB45" s="60"/>
      <c r="HC45" s="60"/>
      <c r="HD45" s="60"/>
      <c r="HE45" s="60"/>
      <c r="HF45" s="60"/>
      <c r="HG45" s="60"/>
      <c r="HH45" s="60"/>
      <c r="HI45" s="60"/>
      <c r="HJ45" s="60"/>
      <c r="HK45" s="60"/>
      <c r="HL45" s="60"/>
      <c r="HM45" s="60"/>
      <c r="HN45" s="60"/>
      <c r="HO45" s="60"/>
      <c r="HP45" s="60"/>
      <c r="HQ45" s="60"/>
      <c r="HR45" s="60"/>
      <c r="HS45" s="60"/>
      <c r="HT45" s="60"/>
      <c r="HU45" s="60"/>
      <c r="HV45" s="60"/>
      <c r="HW45" s="60"/>
      <c r="HX45" s="60"/>
      <c r="HY45" s="60"/>
      <c r="HZ45" s="60"/>
      <c r="IA45" s="60"/>
      <c r="IB45" s="60"/>
      <c r="IC45" s="60"/>
      <c r="ID45" s="60"/>
      <c r="IE45" s="60"/>
      <c r="IF45" s="60"/>
      <c r="IG45" s="60"/>
      <c r="IH45" s="60"/>
      <c r="II45" s="60"/>
      <c r="IJ45" s="60"/>
      <c r="IK45" s="60"/>
      <c r="IL45" s="60"/>
      <c r="IM45" s="60"/>
      <c r="IN45" s="60"/>
      <c r="IO45" s="60"/>
      <c r="IP45" s="60"/>
      <c r="IQ45" s="60"/>
      <c r="IR45" s="60"/>
      <c r="IS45" s="60"/>
      <c r="IT45" s="60"/>
      <c r="IU45" s="60"/>
      <c r="IV45" s="60"/>
    </row>
    <row r="46" spans="1:256" s="66" customFormat="1" ht="12.75">
      <c r="A46" s="128" t="s">
        <v>129</v>
      </c>
      <c r="B46" s="139">
        <f>B43*($B$204*$B$203-$B$204*B39*B41/60)</f>
        <v>2199.3599999999997</v>
      </c>
      <c r="C46" s="127" t="s">
        <v>50</v>
      </c>
      <c r="D46" s="63" t="s">
        <v>103</v>
      </c>
      <c r="E46" s="152"/>
      <c r="F46" s="65"/>
      <c r="G46" s="65"/>
      <c r="H46" s="65"/>
      <c r="I46" s="65"/>
      <c r="J46" s="65"/>
      <c r="K46" s="59"/>
      <c r="L46" s="59"/>
      <c r="M46" s="59"/>
      <c r="N46" s="59"/>
      <c r="O46" s="59"/>
      <c r="P46" s="59"/>
      <c r="Q46" s="59"/>
      <c r="R46" s="59"/>
      <c r="S46" s="59"/>
      <c r="T46" s="59"/>
      <c r="U46" s="59"/>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c r="BR46" s="60"/>
      <c r="BS46" s="60"/>
      <c r="BT46" s="60"/>
      <c r="BU46" s="60"/>
      <c r="BV46" s="60"/>
      <c r="BW46" s="60"/>
      <c r="BX46" s="60"/>
      <c r="BY46" s="60"/>
      <c r="BZ46" s="60"/>
      <c r="CA46" s="60"/>
      <c r="CB46" s="60"/>
      <c r="CC46" s="60"/>
      <c r="CD46" s="60"/>
      <c r="CE46" s="60"/>
      <c r="CF46" s="60"/>
      <c r="CG46" s="60"/>
      <c r="CH46" s="60"/>
      <c r="CI46" s="60"/>
      <c r="CJ46" s="60"/>
      <c r="CK46" s="60"/>
      <c r="CL46" s="60"/>
      <c r="CM46" s="60"/>
      <c r="CN46" s="60"/>
      <c r="CO46" s="60"/>
      <c r="CP46" s="60"/>
      <c r="CQ46" s="60"/>
      <c r="CR46" s="60"/>
      <c r="CS46" s="60"/>
      <c r="CT46" s="60"/>
      <c r="CU46" s="60"/>
      <c r="CV46" s="60"/>
      <c r="CW46" s="60"/>
      <c r="CX46" s="60"/>
      <c r="CY46" s="60"/>
      <c r="CZ46" s="60"/>
      <c r="DA46" s="60"/>
      <c r="DB46" s="60"/>
      <c r="DC46" s="60"/>
      <c r="DD46" s="60"/>
      <c r="DE46" s="60"/>
      <c r="DF46" s="60"/>
      <c r="DG46" s="60"/>
      <c r="DH46" s="60"/>
      <c r="DI46" s="60"/>
      <c r="DJ46" s="60"/>
      <c r="DK46" s="60"/>
      <c r="DL46" s="60"/>
      <c r="DM46" s="60"/>
      <c r="DN46" s="60"/>
      <c r="DO46" s="60"/>
      <c r="DP46" s="60"/>
      <c r="DQ46" s="60"/>
      <c r="DR46" s="60"/>
      <c r="DS46" s="60"/>
      <c r="DT46" s="60"/>
      <c r="DU46" s="60"/>
      <c r="DV46" s="60"/>
      <c r="DW46" s="60"/>
      <c r="DX46" s="60"/>
      <c r="DY46" s="60"/>
      <c r="DZ46" s="60"/>
      <c r="EA46" s="60"/>
      <c r="EB46" s="60"/>
      <c r="EC46" s="60"/>
      <c r="ED46" s="60"/>
      <c r="EE46" s="60"/>
      <c r="EF46" s="60"/>
      <c r="EG46" s="60"/>
      <c r="EH46" s="60"/>
      <c r="EI46" s="60"/>
      <c r="EJ46" s="60"/>
      <c r="EK46" s="60"/>
      <c r="EL46" s="60"/>
      <c r="EM46" s="60"/>
      <c r="EN46" s="60"/>
      <c r="EO46" s="60"/>
      <c r="EP46" s="60"/>
      <c r="EQ46" s="60"/>
      <c r="ER46" s="60"/>
      <c r="ES46" s="60"/>
      <c r="ET46" s="60"/>
      <c r="EU46" s="60"/>
      <c r="EV46" s="60"/>
      <c r="EW46" s="60"/>
      <c r="EX46" s="60"/>
      <c r="EY46" s="60"/>
      <c r="EZ46" s="60"/>
      <c r="FA46" s="60"/>
      <c r="FB46" s="60"/>
      <c r="FC46" s="60"/>
      <c r="FD46" s="60"/>
      <c r="FE46" s="60"/>
      <c r="FF46" s="60"/>
      <c r="FG46" s="60"/>
      <c r="FH46" s="60"/>
      <c r="FI46" s="60"/>
      <c r="FJ46" s="60"/>
      <c r="FK46" s="60"/>
      <c r="FL46" s="60"/>
      <c r="FM46" s="60"/>
      <c r="FN46" s="60"/>
      <c r="FO46" s="60"/>
      <c r="FP46" s="60"/>
      <c r="FQ46" s="60"/>
      <c r="FR46" s="60"/>
      <c r="FS46" s="60"/>
      <c r="FT46" s="60"/>
      <c r="FU46" s="60"/>
      <c r="FV46" s="60"/>
      <c r="FW46" s="60"/>
      <c r="FX46" s="60"/>
      <c r="FY46" s="60"/>
      <c r="FZ46" s="60"/>
      <c r="GA46" s="60"/>
      <c r="GB46" s="60"/>
      <c r="GC46" s="60"/>
      <c r="GD46" s="60"/>
      <c r="GE46" s="60"/>
      <c r="GF46" s="60"/>
      <c r="GG46" s="60"/>
      <c r="GH46" s="60"/>
      <c r="GI46" s="60"/>
      <c r="GJ46" s="60"/>
      <c r="GK46" s="60"/>
      <c r="GL46" s="60"/>
      <c r="GM46" s="60"/>
      <c r="GN46" s="60"/>
      <c r="GO46" s="60"/>
      <c r="GP46" s="60"/>
      <c r="GQ46" s="60"/>
      <c r="GR46" s="60"/>
      <c r="GS46" s="60"/>
      <c r="GT46" s="60"/>
      <c r="GU46" s="60"/>
      <c r="GV46" s="60"/>
      <c r="GW46" s="60"/>
      <c r="GX46" s="60"/>
      <c r="GY46" s="60"/>
      <c r="GZ46" s="60"/>
      <c r="HA46" s="60"/>
      <c r="HB46" s="60"/>
      <c r="HC46" s="60"/>
      <c r="HD46" s="60"/>
      <c r="HE46" s="60"/>
      <c r="HF46" s="60"/>
      <c r="HG46" s="60"/>
      <c r="HH46" s="60"/>
      <c r="HI46" s="60"/>
      <c r="HJ46" s="60"/>
      <c r="HK46" s="60"/>
      <c r="HL46" s="60"/>
      <c r="HM46" s="60"/>
      <c r="HN46" s="60"/>
      <c r="HO46" s="60"/>
      <c r="HP46" s="60"/>
      <c r="HQ46" s="60"/>
      <c r="HR46" s="60"/>
      <c r="HS46" s="60"/>
      <c r="HT46" s="60"/>
      <c r="HU46" s="60"/>
      <c r="HV46" s="60"/>
      <c r="HW46" s="60"/>
      <c r="HX46" s="60"/>
      <c r="HY46" s="60"/>
      <c r="HZ46" s="60"/>
      <c r="IA46" s="60"/>
      <c r="IB46" s="60"/>
      <c r="IC46" s="60"/>
      <c r="ID46" s="60"/>
      <c r="IE46" s="60"/>
      <c r="IF46" s="60"/>
      <c r="IG46" s="60"/>
      <c r="IH46" s="60"/>
      <c r="II46" s="60"/>
      <c r="IJ46" s="60"/>
      <c r="IK46" s="60"/>
      <c r="IL46" s="60"/>
      <c r="IM46" s="60"/>
      <c r="IN46" s="60"/>
      <c r="IO46" s="60"/>
      <c r="IP46" s="60"/>
      <c r="IQ46" s="60"/>
      <c r="IR46" s="60"/>
      <c r="IS46" s="60"/>
      <c r="IT46" s="60"/>
      <c r="IU46" s="60"/>
      <c r="IV46" s="60"/>
    </row>
    <row r="47" spans="1:10" ht="12.75">
      <c r="A47" s="128" t="s">
        <v>48</v>
      </c>
      <c r="B47" s="144">
        <v>9000</v>
      </c>
      <c r="C47" s="127"/>
      <c r="D47" s="63" t="s">
        <v>104</v>
      </c>
      <c r="E47" s="152"/>
      <c r="G47" s="65"/>
      <c r="H47" s="65"/>
      <c r="I47" s="65"/>
      <c r="J47" s="65"/>
    </row>
    <row r="48" spans="1:10" ht="12.75">
      <c r="A48" s="128" t="s">
        <v>76</v>
      </c>
      <c r="B48" s="139">
        <v>15</v>
      </c>
      <c r="C48" s="127" t="s">
        <v>77</v>
      </c>
      <c r="D48" s="63" t="s">
        <v>104</v>
      </c>
      <c r="E48" s="152"/>
      <c r="G48" s="65"/>
      <c r="H48" s="65"/>
      <c r="I48" s="65"/>
      <c r="J48" s="65"/>
    </row>
    <row r="49" spans="1:10" ht="12.75">
      <c r="A49" s="180" t="s">
        <v>120</v>
      </c>
      <c r="B49" s="177"/>
      <c r="C49" s="178"/>
      <c r="D49" s="179"/>
      <c r="E49" s="152"/>
      <c r="G49" s="65"/>
      <c r="H49" s="65"/>
      <c r="I49" s="65"/>
      <c r="J49" s="65"/>
    </row>
    <row r="50" spans="1:10" ht="12.75">
      <c r="A50" s="128" t="s">
        <v>100</v>
      </c>
      <c r="B50" s="138">
        <v>400</v>
      </c>
      <c r="C50" s="127" t="s">
        <v>144</v>
      </c>
      <c r="D50" s="63" t="s">
        <v>114</v>
      </c>
      <c r="E50" s="152"/>
      <c r="G50" s="65"/>
      <c r="H50" s="65"/>
      <c r="I50" s="65"/>
      <c r="J50" s="65"/>
    </row>
    <row r="51" spans="1:10" ht="25.5">
      <c r="A51" s="128" t="s">
        <v>74</v>
      </c>
      <c r="B51" s="138">
        <v>0.79</v>
      </c>
      <c r="C51" s="127" t="s">
        <v>73</v>
      </c>
      <c r="D51" s="63" t="s">
        <v>133</v>
      </c>
      <c r="E51" s="152"/>
      <c r="G51" s="65"/>
      <c r="H51" s="65"/>
      <c r="I51" s="65"/>
      <c r="J51" s="65"/>
    </row>
    <row r="52" spans="1:10" ht="12.75">
      <c r="A52" s="128" t="s">
        <v>127</v>
      </c>
      <c r="B52" s="138">
        <v>0.3</v>
      </c>
      <c r="C52" s="127" t="s">
        <v>128</v>
      </c>
      <c r="D52" s="63" t="s">
        <v>78</v>
      </c>
      <c r="E52" s="133"/>
      <c r="G52" s="65"/>
      <c r="H52" s="65"/>
      <c r="I52" s="65"/>
      <c r="J52" s="65"/>
    </row>
    <row r="53" spans="1:10" ht="12.75">
      <c r="A53" s="128" t="s">
        <v>101</v>
      </c>
      <c r="B53" s="139">
        <f>$B$204*B50*B51</f>
        <v>113760</v>
      </c>
      <c r="C53" s="127" t="s">
        <v>73</v>
      </c>
      <c r="D53" s="63" t="s">
        <v>103</v>
      </c>
      <c r="E53" s="152"/>
      <c r="G53" s="65"/>
      <c r="H53" s="65" t="s">
        <v>71</v>
      </c>
      <c r="I53" s="65"/>
      <c r="J53" s="65"/>
    </row>
    <row r="54" spans="1:10" ht="12.75">
      <c r="A54" s="128" t="s">
        <v>102</v>
      </c>
      <c r="B54" s="138">
        <v>0.69</v>
      </c>
      <c r="C54" s="127" t="s">
        <v>95</v>
      </c>
      <c r="D54" s="63" t="s">
        <v>114</v>
      </c>
      <c r="E54" s="152"/>
      <c r="G54" s="65"/>
      <c r="H54" s="65"/>
      <c r="I54" s="65"/>
      <c r="J54" s="65"/>
    </row>
    <row r="55" spans="1:10" ht="12.75">
      <c r="A55" s="128" t="s">
        <v>130</v>
      </c>
      <c r="B55" s="139">
        <f>B53*$H$22</f>
        <v>20160.184536385892</v>
      </c>
      <c r="C55" s="127" t="str">
        <f>$I$22</f>
        <v>kWh</v>
      </c>
      <c r="D55" s="63" t="s">
        <v>103</v>
      </c>
      <c r="E55" s="152"/>
      <c r="G55" s="65"/>
      <c r="H55" s="65"/>
      <c r="I55" s="65"/>
      <c r="J55" s="65"/>
    </row>
    <row r="56" spans="1:10" ht="12.75">
      <c r="A56" s="128" t="s">
        <v>131</v>
      </c>
      <c r="B56" s="139">
        <v>0</v>
      </c>
      <c r="C56" s="127" t="str">
        <f>$I$17</f>
        <v>kWh</v>
      </c>
      <c r="D56" s="63" t="s">
        <v>114</v>
      </c>
      <c r="E56" s="152"/>
      <c r="G56" s="65"/>
      <c r="H56" s="65"/>
      <c r="I56" s="65"/>
      <c r="J56" s="65"/>
    </row>
    <row r="57" spans="1:5" ht="12.75">
      <c r="A57" s="128" t="s">
        <v>129</v>
      </c>
      <c r="B57" s="139">
        <f>B54*($B$204*$B$203-$B$204*B50*B52/60)</f>
        <v>3974.3999999999996</v>
      </c>
      <c r="C57" s="127" t="s">
        <v>50</v>
      </c>
      <c r="D57" s="63" t="s">
        <v>103</v>
      </c>
      <c r="E57" s="152"/>
    </row>
    <row r="58" spans="1:5" ht="12.75">
      <c r="A58" s="128" t="s">
        <v>48</v>
      </c>
      <c r="B58" s="144">
        <v>14000</v>
      </c>
      <c r="C58" s="127"/>
      <c r="D58" s="63" t="s">
        <v>138</v>
      </c>
      <c r="E58" s="133"/>
    </row>
    <row r="59" spans="1:5" ht="12.75">
      <c r="A59" s="128" t="s">
        <v>76</v>
      </c>
      <c r="B59" s="139">
        <v>20</v>
      </c>
      <c r="C59" s="127" t="s">
        <v>77</v>
      </c>
      <c r="D59" s="63" t="s">
        <v>104</v>
      </c>
      <c r="E59" s="133"/>
    </row>
    <row r="60" spans="1:5" ht="12.75">
      <c r="A60" s="176" t="s">
        <v>121</v>
      </c>
      <c r="B60" s="177"/>
      <c r="C60" s="178"/>
      <c r="D60" s="179"/>
      <c r="E60" s="152"/>
    </row>
    <row r="61" spans="1:5" ht="12.75">
      <c r="A61" s="128" t="s">
        <v>100</v>
      </c>
      <c r="B61" s="138">
        <v>400</v>
      </c>
      <c r="C61" s="127" t="s">
        <v>144</v>
      </c>
      <c r="D61" s="63" t="s">
        <v>114</v>
      </c>
      <c r="E61" s="133"/>
    </row>
    <row r="62" spans="1:5" ht="25.5">
      <c r="A62" s="128" t="s">
        <v>74</v>
      </c>
      <c r="B62" s="138">
        <v>0.7</v>
      </c>
      <c r="C62" s="127" t="s">
        <v>73</v>
      </c>
      <c r="D62" s="63" t="s">
        <v>133</v>
      </c>
      <c r="E62" s="152"/>
    </row>
    <row r="63" spans="1:5" ht="12.75">
      <c r="A63" s="128" t="s">
        <v>127</v>
      </c>
      <c r="B63" s="138">
        <v>0.3</v>
      </c>
      <c r="C63" s="127" t="s">
        <v>128</v>
      </c>
      <c r="D63" s="63" t="s">
        <v>78</v>
      </c>
      <c r="E63" s="133"/>
    </row>
    <row r="64" spans="1:5" ht="12.75">
      <c r="A64" s="128" t="s">
        <v>101</v>
      </c>
      <c r="B64" s="139">
        <f>$B$204*B61*B62</f>
        <v>100800</v>
      </c>
      <c r="C64" s="127" t="s">
        <v>73</v>
      </c>
      <c r="D64" s="63" t="s">
        <v>103</v>
      </c>
      <c r="E64" s="152"/>
    </row>
    <row r="65" spans="1:5" ht="25.5">
      <c r="A65" s="128" t="s">
        <v>102</v>
      </c>
      <c r="B65" s="138">
        <v>2</v>
      </c>
      <c r="C65" s="127" t="s">
        <v>95</v>
      </c>
      <c r="D65" s="63" t="s">
        <v>133</v>
      </c>
      <c r="E65" s="152"/>
    </row>
    <row r="66" spans="1:5" ht="12.75">
      <c r="A66" s="128" t="s">
        <v>130</v>
      </c>
      <c r="B66" s="139">
        <f>B64*$H$22</f>
        <v>17863.45465249383</v>
      </c>
      <c r="C66" s="127" t="str">
        <f>$I$22</f>
        <v>kWh</v>
      </c>
      <c r="D66" s="63" t="s">
        <v>103</v>
      </c>
      <c r="E66" s="152"/>
    </row>
    <row r="67" spans="1:5" ht="12.75">
      <c r="A67" s="128" t="s">
        <v>131</v>
      </c>
      <c r="B67" s="139">
        <f>B64*$H$17</f>
        <v>10207.688372853614</v>
      </c>
      <c r="C67" s="127" t="str">
        <f>$I$17</f>
        <v>kWh</v>
      </c>
      <c r="D67" s="63" t="s">
        <v>103</v>
      </c>
      <c r="E67" s="152"/>
    </row>
    <row r="68" spans="1:5" ht="12.75">
      <c r="A68" s="128" t="s">
        <v>129</v>
      </c>
      <c r="B68" s="139">
        <f>B65*($B$204*$B$203-$B$204*B61*B63/60)</f>
        <v>11520</v>
      </c>
      <c r="C68" s="127" t="s">
        <v>50</v>
      </c>
      <c r="D68" s="63" t="s">
        <v>103</v>
      </c>
      <c r="E68" s="152"/>
    </row>
    <row r="69" spans="1:5" ht="12.75">
      <c r="A69" s="128" t="s">
        <v>48</v>
      </c>
      <c r="B69" s="144">
        <v>15000</v>
      </c>
      <c r="C69" s="127"/>
      <c r="D69" s="63" t="s">
        <v>138</v>
      </c>
      <c r="E69" s="133"/>
    </row>
    <row r="70" spans="1:5" ht="12.75">
      <c r="A70" s="130" t="s">
        <v>76</v>
      </c>
      <c r="B70" s="149">
        <v>20</v>
      </c>
      <c r="C70" s="150" t="s">
        <v>77</v>
      </c>
      <c r="D70" s="155" t="s">
        <v>104</v>
      </c>
      <c r="E70" s="133"/>
    </row>
    <row r="71" spans="1:5" ht="12.75">
      <c r="A71" s="181" t="s">
        <v>122</v>
      </c>
      <c r="B71" s="182"/>
      <c r="C71" s="183"/>
      <c r="D71" s="184"/>
      <c r="E71" s="152"/>
    </row>
    <row r="72" spans="1:5" ht="12.75">
      <c r="A72" s="128" t="s">
        <v>100</v>
      </c>
      <c r="B72" s="138">
        <v>600</v>
      </c>
      <c r="C72" s="127" t="s">
        <v>144</v>
      </c>
      <c r="D72" s="63" t="s">
        <v>114</v>
      </c>
      <c r="E72" s="133"/>
    </row>
    <row r="73" spans="1:5" ht="25.5">
      <c r="A73" s="128" t="s">
        <v>74</v>
      </c>
      <c r="B73" s="138">
        <v>0.54</v>
      </c>
      <c r="C73" s="127" t="s">
        <v>73</v>
      </c>
      <c r="D73" s="63" t="s">
        <v>133</v>
      </c>
      <c r="E73" s="152"/>
    </row>
    <row r="74" spans="1:5" ht="12.75">
      <c r="A74" s="128" t="s">
        <v>127</v>
      </c>
      <c r="B74" s="138">
        <v>0.3</v>
      </c>
      <c r="C74" s="127" t="s">
        <v>128</v>
      </c>
      <c r="D74" s="63" t="s">
        <v>78</v>
      </c>
      <c r="E74" s="133"/>
    </row>
    <row r="75" spans="1:5" ht="12.75">
      <c r="A75" s="128" t="s">
        <v>101</v>
      </c>
      <c r="B75" s="139">
        <f>$B$204*B72*B73</f>
        <v>116640.00000000001</v>
      </c>
      <c r="C75" s="127" t="s">
        <v>73</v>
      </c>
      <c r="D75" s="63" t="s">
        <v>103</v>
      </c>
      <c r="E75" s="152"/>
    </row>
    <row r="76" spans="1:5" ht="12.75">
      <c r="A76" s="128" t="s">
        <v>102</v>
      </c>
      <c r="B76" s="138">
        <v>1.6</v>
      </c>
      <c r="C76" s="127" t="s">
        <v>95</v>
      </c>
      <c r="D76" s="63" t="s">
        <v>114</v>
      </c>
      <c r="E76" s="152"/>
    </row>
    <row r="77" spans="1:5" ht="12.75">
      <c r="A77" s="128" t="s">
        <v>130</v>
      </c>
      <c r="B77" s="139">
        <f>B75*$H$22</f>
        <v>20670.568955028575</v>
      </c>
      <c r="C77" s="127" t="str">
        <f>$I$22</f>
        <v>kWh</v>
      </c>
      <c r="D77" s="63" t="s">
        <v>103</v>
      </c>
      <c r="E77" s="152"/>
    </row>
    <row r="78" spans="1:5" ht="12.75">
      <c r="A78" s="128" t="s">
        <v>131</v>
      </c>
      <c r="B78" s="139">
        <v>0</v>
      </c>
      <c r="C78" s="127" t="str">
        <f>$I$17</f>
        <v>kWh</v>
      </c>
      <c r="D78" s="63" t="s">
        <v>103</v>
      </c>
      <c r="E78" s="152"/>
    </row>
    <row r="79" spans="1:5" ht="12.75">
      <c r="A79" s="128" t="s">
        <v>129</v>
      </c>
      <c r="B79" s="139">
        <f>B76*($B$204*$B$203-$B$204*B72*B74/60)</f>
        <v>8640</v>
      </c>
      <c r="C79" s="127" t="s">
        <v>50</v>
      </c>
      <c r="D79" s="63" t="s">
        <v>103</v>
      </c>
      <c r="E79" s="152"/>
    </row>
    <row r="80" spans="1:5" ht="12.75">
      <c r="A80" s="128" t="s">
        <v>48</v>
      </c>
      <c r="B80" s="144">
        <v>22000</v>
      </c>
      <c r="C80" s="127"/>
      <c r="D80" s="63" t="s">
        <v>138</v>
      </c>
      <c r="E80" s="133"/>
    </row>
    <row r="81" spans="1:5" ht="12.75">
      <c r="A81" s="128" t="s">
        <v>76</v>
      </c>
      <c r="B81" s="139">
        <v>20</v>
      </c>
      <c r="C81" s="127" t="s">
        <v>77</v>
      </c>
      <c r="D81" s="63" t="s">
        <v>104</v>
      </c>
      <c r="E81" s="133"/>
    </row>
    <row r="82" spans="1:5" ht="12.75">
      <c r="A82" s="176" t="s">
        <v>123</v>
      </c>
      <c r="B82" s="177"/>
      <c r="C82" s="178"/>
      <c r="D82" s="179"/>
      <c r="E82" s="152"/>
    </row>
    <row r="83" spans="1:5" ht="12.75">
      <c r="A83" s="128" t="s">
        <v>100</v>
      </c>
      <c r="B83" s="138">
        <v>600</v>
      </c>
      <c r="C83" s="127" t="s">
        <v>144</v>
      </c>
      <c r="D83" s="63" t="s">
        <v>114</v>
      </c>
      <c r="E83" s="133"/>
    </row>
    <row r="84" spans="1:5" ht="25.5">
      <c r="A84" s="128" t="s">
        <v>74</v>
      </c>
      <c r="B84" s="138">
        <v>0.54</v>
      </c>
      <c r="C84" s="127" t="s">
        <v>73</v>
      </c>
      <c r="D84" s="63" t="s">
        <v>133</v>
      </c>
      <c r="E84" s="152"/>
    </row>
    <row r="85" spans="1:5" ht="12.75">
      <c r="A85" s="128" t="s">
        <v>127</v>
      </c>
      <c r="B85" s="138">
        <v>0.2</v>
      </c>
      <c r="C85" s="127" t="s">
        <v>128</v>
      </c>
      <c r="D85" s="63" t="s">
        <v>78</v>
      </c>
      <c r="E85" s="133"/>
    </row>
    <row r="86" spans="1:5" ht="12.75">
      <c r="A86" s="128" t="s">
        <v>101</v>
      </c>
      <c r="B86" s="139">
        <f>$B$204*B83*B84</f>
        <v>116640.00000000001</v>
      </c>
      <c r="C86" s="127" t="s">
        <v>73</v>
      </c>
      <c r="D86" s="63" t="s">
        <v>103</v>
      </c>
      <c r="E86" s="152"/>
    </row>
    <row r="87" spans="1:5" ht="12.75">
      <c r="A87" s="128" t="s">
        <v>102</v>
      </c>
      <c r="B87" s="168">
        <v>2.4</v>
      </c>
      <c r="C87" s="127" t="s">
        <v>95</v>
      </c>
      <c r="D87" s="63" t="s">
        <v>114</v>
      </c>
      <c r="E87" s="152"/>
    </row>
    <row r="88" spans="1:5" ht="12.75">
      <c r="A88" s="128" t="s">
        <v>130</v>
      </c>
      <c r="B88" s="139">
        <f>B86*$H$22</f>
        <v>20670.568955028575</v>
      </c>
      <c r="C88" s="127" t="str">
        <f>$I$22</f>
        <v>kWh</v>
      </c>
      <c r="D88" s="63" t="s">
        <v>103</v>
      </c>
      <c r="E88" s="152"/>
    </row>
    <row r="89" spans="1:5" ht="12.75">
      <c r="A89" s="128" t="s">
        <v>131</v>
      </c>
      <c r="B89" s="139">
        <f>B86*$H$17</f>
        <v>11811.753688587756</v>
      </c>
      <c r="C89" s="127" t="str">
        <f>$I$17</f>
        <v>kWh</v>
      </c>
      <c r="D89" s="63" t="s">
        <v>103</v>
      </c>
      <c r="E89" s="152"/>
    </row>
    <row r="90" spans="1:5" ht="12.75">
      <c r="A90" s="128" t="s">
        <v>129</v>
      </c>
      <c r="B90" s="139">
        <f>B87*($B$204*$B$203-$B$204*B83*B85/60)</f>
        <v>13824</v>
      </c>
      <c r="C90" s="127" t="s">
        <v>50</v>
      </c>
      <c r="D90" s="63" t="s">
        <v>103</v>
      </c>
      <c r="E90" s="152"/>
    </row>
    <row r="91" spans="1:5" ht="12.75">
      <c r="A91" s="128" t="s">
        <v>48</v>
      </c>
      <c r="B91" s="144">
        <v>24000</v>
      </c>
      <c r="C91" s="127"/>
      <c r="D91" s="63" t="s">
        <v>138</v>
      </c>
      <c r="E91" s="133"/>
    </row>
    <row r="92" spans="1:5" ht="12.75">
      <c r="A92" s="128" t="s">
        <v>76</v>
      </c>
      <c r="B92" s="139">
        <v>20</v>
      </c>
      <c r="C92" s="127" t="s">
        <v>77</v>
      </c>
      <c r="D92" s="63" t="s">
        <v>104</v>
      </c>
      <c r="E92" s="133"/>
    </row>
    <row r="93" spans="1:5" ht="14.25">
      <c r="A93" s="129"/>
      <c r="B93" s="138"/>
      <c r="C93" s="127"/>
      <c r="D93" s="63"/>
      <c r="E93" s="152"/>
    </row>
    <row r="94" spans="1:5" ht="12.75">
      <c r="A94" s="126" t="s">
        <v>4</v>
      </c>
      <c r="B94" s="138"/>
      <c r="C94" s="127"/>
      <c r="D94" s="63"/>
      <c r="E94" s="152"/>
    </row>
    <row r="95" spans="1:5" ht="12.75">
      <c r="A95" s="176" t="s">
        <v>116</v>
      </c>
      <c r="B95" s="177"/>
      <c r="C95" s="178"/>
      <c r="D95" s="179"/>
      <c r="E95" s="152"/>
    </row>
    <row r="96" spans="1:5" ht="12.75">
      <c r="A96" s="128" t="s">
        <v>100</v>
      </c>
      <c r="B96" s="138">
        <v>75</v>
      </c>
      <c r="C96" s="127" t="s">
        <v>144</v>
      </c>
      <c r="D96" s="63" t="s">
        <v>104</v>
      </c>
      <c r="E96" s="133"/>
    </row>
    <row r="97" spans="1:5" ht="12.75">
      <c r="A97" s="128" t="s">
        <v>74</v>
      </c>
      <c r="B97" s="138">
        <v>1.95</v>
      </c>
      <c r="C97" s="127" t="s">
        <v>73</v>
      </c>
      <c r="D97" s="63" t="s">
        <v>78</v>
      </c>
      <c r="E97" s="133"/>
    </row>
    <row r="98" spans="1:5" ht="12.75">
      <c r="A98" s="128" t="s">
        <v>127</v>
      </c>
      <c r="B98" s="138">
        <v>2.1</v>
      </c>
      <c r="C98" s="127" t="s">
        <v>128</v>
      </c>
      <c r="D98" s="63" t="s">
        <v>104</v>
      </c>
      <c r="E98" s="186"/>
    </row>
    <row r="99" spans="1:5" ht="12.75">
      <c r="A99" s="128" t="s">
        <v>101</v>
      </c>
      <c r="B99" s="139">
        <f>$B$204*B96*$B$97</f>
        <v>52650</v>
      </c>
      <c r="C99" s="127" t="s">
        <v>73</v>
      </c>
      <c r="D99" s="63" t="s">
        <v>103</v>
      </c>
      <c r="E99" s="152"/>
    </row>
    <row r="100" spans="1:5" ht="12.75">
      <c r="A100" s="128" t="s">
        <v>102</v>
      </c>
      <c r="B100" s="138">
        <v>0.15</v>
      </c>
      <c r="C100" s="127" t="s">
        <v>95</v>
      </c>
      <c r="D100" s="63" t="s">
        <v>78</v>
      </c>
      <c r="E100" s="152"/>
    </row>
    <row r="101" spans="1:5" ht="12.75">
      <c r="A101" s="128" t="s">
        <v>130</v>
      </c>
      <c r="B101" s="139">
        <f>B99*$H$22</f>
        <v>9330.465153311508</v>
      </c>
      <c r="C101" s="127" t="str">
        <f>$I$22</f>
        <v>kWh</v>
      </c>
      <c r="D101" s="63" t="s">
        <v>103</v>
      </c>
      <c r="E101" s="152"/>
    </row>
    <row r="102" spans="1:5" ht="12.75">
      <c r="A102" s="128" t="s">
        <v>131</v>
      </c>
      <c r="B102" s="139">
        <v>0</v>
      </c>
      <c r="C102" s="127" t="str">
        <f>$I$17</f>
        <v>kWh</v>
      </c>
      <c r="D102" s="63" t="s">
        <v>114</v>
      </c>
      <c r="E102" s="152"/>
    </row>
    <row r="103" spans="1:5" ht="12.75">
      <c r="A103" s="128" t="s">
        <v>129</v>
      </c>
      <c r="B103" s="139">
        <f>B100*($B$204*$B$203-$B$204*B96*B98/60)</f>
        <v>830.25</v>
      </c>
      <c r="C103" s="127" t="s">
        <v>50</v>
      </c>
      <c r="D103" s="63" t="s">
        <v>103</v>
      </c>
      <c r="E103" s="152"/>
    </row>
    <row r="104" spans="1:5" ht="12.75">
      <c r="A104" s="128" t="s">
        <v>48</v>
      </c>
      <c r="B104" s="144">
        <v>4800</v>
      </c>
      <c r="C104" s="127"/>
      <c r="D104" s="63" t="s">
        <v>138</v>
      </c>
      <c r="E104" s="133"/>
    </row>
    <row r="105" spans="1:5" ht="12.75">
      <c r="A105" s="128" t="s">
        <v>76</v>
      </c>
      <c r="B105" s="139">
        <v>10</v>
      </c>
      <c r="C105" s="127" t="s">
        <v>77</v>
      </c>
      <c r="D105" s="63" t="s">
        <v>104</v>
      </c>
      <c r="E105" s="133"/>
    </row>
    <row r="106" spans="1:5" ht="12.75">
      <c r="A106" s="176" t="s">
        <v>117</v>
      </c>
      <c r="B106" s="177"/>
      <c r="C106" s="178"/>
      <c r="D106" s="179"/>
      <c r="E106" s="152"/>
    </row>
    <row r="107" spans="1:5" ht="12.75">
      <c r="A107" s="128" t="s">
        <v>100</v>
      </c>
      <c r="B107" s="138">
        <v>75</v>
      </c>
      <c r="C107" s="127" t="s">
        <v>144</v>
      </c>
      <c r="D107" s="63" t="s">
        <v>104</v>
      </c>
      <c r="E107" s="133"/>
    </row>
    <row r="108" spans="1:5" ht="12.75">
      <c r="A108" s="128" t="s">
        <v>74</v>
      </c>
      <c r="B108" s="138">
        <v>1.98</v>
      </c>
      <c r="C108" s="127" t="s">
        <v>73</v>
      </c>
      <c r="D108" s="63" t="s">
        <v>78</v>
      </c>
      <c r="E108" s="133"/>
    </row>
    <row r="109" spans="1:5" ht="12.75">
      <c r="A109" s="128" t="s">
        <v>127</v>
      </c>
      <c r="B109" s="138">
        <v>2.1</v>
      </c>
      <c r="C109" s="127" t="s">
        <v>128</v>
      </c>
      <c r="D109" s="63" t="s">
        <v>104</v>
      </c>
      <c r="E109" s="186"/>
    </row>
    <row r="110" spans="1:5" ht="12.75">
      <c r="A110" s="128" t="s">
        <v>101</v>
      </c>
      <c r="B110" s="139">
        <f>$B$204*B107*B108</f>
        <v>53460</v>
      </c>
      <c r="C110" s="127" t="s">
        <v>73</v>
      </c>
      <c r="D110" s="63" t="s">
        <v>103</v>
      </c>
      <c r="E110" s="152"/>
    </row>
    <row r="111" spans="1:5" ht="12.75">
      <c r="A111" s="128" t="s">
        <v>102</v>
      </c>
      <c r="B111" s="138">
        <v>0.42</v>
      </c>
      <c r="C111" s="127" t="s">
        <v>95</v>
      </c>
      <c r="D111" s="63" t="s">
        <v>78</v>
      </c>
      <c r="E111" s="152"/>
    </row>
    <row r="112" spans="1:5" ht="12.75">
      <c r="A112" s="128" t="s">
        <v>130</v>
      </c>
      <c r="B112" s="139">
        <f>B110*$H$22</f>
        <v>9474.010771054764</v>
      </c>
      <c r="C112" s="127" t="str">
        <f>$I$22</f>
        <v>kWh</v>
      </c>
      <c r="D112" s="63" t="s">
        <v>103</v>
      </c>
      <c r="E112" s="152"/>
    </row>
    <row r="113" spans="1:5" ht="12.75">
      <c r="A113" s="128" t="s">
        <v>131</v>
      </c>
      <c r="B113" s="139">
        <f>B110*$H$17</f>
        <v>5413.72044060272</v>
      </c>
      <c r="C113" s="127" t="str">
        <f>$I$17</f>
        <v>kWh</v>
      </c>
      <c r="D113" s="63" t="s">
        <v>103</v>
      </c>
      <c r="E113" s="152"/>
    </row>
    <row r="114" spans="1:5" ht="12.75">
      <c r="A114" s="128" t="s">
        <v>129</v>
      </c>
      <c r="B114" s="139">
        <f>B111*($B$204*$B$203-$B$204*B107*B109/60)</f>
        <v>2324.7</v>
      </c>
      <c r="C114" s="127" t="s">
        <v>50</v>
      </c>
      <c r="D114" s="63" t="s">
        <v>103</v>
      </c>
      <c r="E114" s="152"/>
    </row>
    <row r="115" spans="1:5" ht="12.75">
      <c r="A115" s="128" t="s">
        <v>48</v>
      </c>
      <c r="B115" s="144">
        <v>5000</v>
      </c>
      <c r="C115" s="127"/>
      <c r="D115" s="63" t="s">
        <v>138</v>
      </c>
      <c r="E115" s="133"/>
    </row>
    <row r="116" spans="1:5" ht="12.75">
      <c r="A116" s="128" t="s">
        <v>76</v>
      </c>
      <c r="B116" s="139">
        <v>10</v>
      </c>
      <c r="C116" s="127" t="s">
        <v>77</v>
      </c>
      <c r="D116" s="63" t="s">
        <v>104</v>
      </c>
      <c r="E116" s="133"/>
    </row>
    <row r="117" spans="1:5" ht="12.75">
      <c r="A117" s="176" t="s">
        <v>118</v>
      </c>
      <c r="B117" s="177"/>
      <c r="C117" s="178"/>
      <c r="D117" s="179"/>
      <c r="E117" s="152"/>
    </row>
    <row r="118" spans="1:5" ht="12.75">
      <c r="A118" s="128" t="s">
        <v>100</v>
      </c>
      <c r="B118" s="138">
        <v>280</v>
      </c>
      <c r="C118" s="127"/>
      <c r="D118" s="63" t="s">
        <v>104</v>
      </c>
      <c r="E118" s="133"/>
    </row>
    <row r="119" spans="1:5" ht="12.75">
      <c r="A119" s="128" t="s">
        <v>74</v>
      </c>
      <c r="B119" s="138">
        <v>1.85</v>
      </c>
      <c r="C119" s="127"/>
      <c r="D119" s="63" t="s">
        <v>78</v>
      </c>
      <c r="E119" s="133"/>
    </row>
    <row r="120" spans="1:5" ht="12.75">
      <c r="A120" s="128" t="s">
        <v>127</v>
      </c>
      <c r="B120" s="138">
        <v>1.6</v>
      </c>
      <c r="C120" s="127" t="s">
        <v>128</v>
      </c>
      <c r="D120" s="63" t="s">
        <v>78</v>
      </c>
      <c r="E120" s="133"/>
    </row>
    <row r="121" spans="1:5" ht="12.75">
      <c r="A121" s="128" t="s">
        <v>101</v>
      </c>
      <c r="B121" s="139">
        <f>$B$204*B118*B119</f>
        <v>186480</v>
      </c>
      <c r="C121" s="127" t="s">
        <v>73</v>
      </c>
      <c r="D121" s="63" t="s">
        <v>103</v>
      </c>
      <c r="E121" s="152"/>
    </row>
    <row r="122" spans="1:5" ht="12.75">
      <c r="A122" s="128" t="s">
        <v>102</v>
      </c>
      <c r="B122" s="138">
        <v>0.12</v>
      </c>
      <c r="C122" s="127" t="s">
        <v>95</v>
      </c>
      <c r="D122" s="63" t="s">
        <v>78</v>
      </c>
      <c r="E122" s="152"/>
    </row>
    <row r="123" spans="1:5" ht="12.75">
      <c r="A123" s="128" t="s">
        <v>130</v>
      </c>
      <c r="B123" s="139">
        <f>B121*$H$22</f>
        <v>33047.39110711358</v>
      </c>
      <c r="C123" s="127" t="str">
        <f>$I$22</f>
        <v>kWh</v>
      </c>
      <c r="D123" s="63" t="s">
        <v>103</v>
      </c>
      <c r="E123" s="152"/>
    </row>
    <row r="124" spans="1:5" ht="12.75">
      <c r="A124" s="128" t="s">
        <v>131</v>
      </c>
      <c r="B124" s="139">
        <v>0</v>
      </c>
      <c r="C124" s="127" t="str">
        <f>$I$17</f>
        <v>kWh</v>
      </c>
      <c r="D124" s="63" t="s">
        <v>114</v>
      </c>
      <c r="E124" s="152"/>
    </row>
    <row r="125" spans="1:5" ht="12.75">
      <c r="A125" s="128" t="s">
        <v>129</v>
      </c>
      <c r="B125" s="139">
        <f>B122*($B$204*$B$203-$B$204*B118*B120/60)</f>
        <v>455.03999999999996</v>
      </c>
      <c r="C125" s="127" t="s">
        <v>50</v>
      </c>
      <c r="D125" s="63" t="s">
        <v>103</v>
      </c>
      <c r="E125" s="152"/>
    </row>
    <row r="126" spans="1:5" ht="12.75">
      <c r="A126" s="128" t="s">
        <v>48</v>
      </c>
      <c r="B126" s="144">
        <v>6500</v>
      </c>
      <c r="C126" s="127"/>
      <c r="D126" s="63" t="s">
        <v>138</v>
      </c>
      <c r="E126" s="133"/>
    </row>
    <row r="127" spans="1:5" ht="12.75">
      <c r="A127" s="128" t="s">
        <v>76</v>
      </c>
      <c r="B127" s="139">
        <v>15</v>
      </c>
      <c r="C127" s="127" t="s">
        <v>77</v>
      </c>
      <c r="D127" s="63" t="s">
        <v>104</v>
      </c>
      <c r="E127" s="133"/>
    </row>
    <row r="128" spans="1:5" ht="12.75">
      <c r="A128" s="176" t="s">
        <v>119</v>
      </c>
      <c r="B128" s="177"/>
      <c r="C128" s="178"/>
      <c r="D128" s="179"/>
      <c r="E128" s="152"/>
    </row>
    <row r="129" spans="1:5" ht="12.75">
      <c r="A129" s="128" t="s">
        <v>100</v>
      </c>
      <c r="B129" s="138">
        <v>280</v>
      </c>
      <c r="C129" s="127" t="s">
        <v>144</v>
      </c>
      <c r="D129" s="63" t="s">
        <v>104</v>
      </c>
      <c r="E129" s="133"/>
    </row>
    <row r="130" spans="1:5" ht="12.75">
      <c r="A130" s="128" t="s">
        <v>74</v>
      </c>
      <c r="B130" s="138">
        <v>1.44</v>
      </c>
      <c r="C130" s="127" t="s">
        <v>73</v>
      </c>
      <c r="D130" s="63" t="s">
        <v>78</v>
      </c>
      <c r="E130" s="133"/>
    </row>
    <row r="131" spans="1:5" ht="12.75">
      <c r="A131" s="128" t="s">
        <v>127</v>
      </c>
      <c r="B131" s="138">
        <v>1.4</v>
      </c>
      <c r="C131" s="127" t="s">
        <v>128</v>
      </c>
      <c r="D131" s="63" t="s">
        <v>78</v>
      </c>
      <c r="E131" s="133"/>
    </row>
    <row r="132" spans="1:5" ht="12.75">
      <c r="A132" s="128" t="s">
        <v>101</v>
      </c>
      <c r="B132" s="139">
        <f>$B$204*B129*B130</f>
        <v>145152</v>
      </c>
      <c r="C132" s="127" t="s">
        <v>73</v>
      </c>
      <c r="D132" s="63" t="s">
        <v>103</v>
      </c>
      <c r="E132" s="152"/>
    </row>
    <row r="133" spans="1:5" ht="12.75">
      <c r="A133" s="128" t="s">
        <v>102</v>
      </c>
      <c r="B133" s="138">
        <v>0.58</v>
      </c>
      <c r="C133" s="127" t="s">
        <v>95</v>
      </c>
      <c r="D133" s="63" t="s">
        <v>78</v>
      </c>
      <c r="E133" s="152"/>
    </row>
    <row r="134" spans="1:5" ht="12.75">
      <c r="A134" s="128" t="s">
        <v>130</v>
      </c>
      <c r="B134" s="139">
        <f>B132*$H$22</f>
        <v>25723.374699591113</v>
      </c>
      <c r="C134" s="127" t="str">
        <f>$I$22</f>
        <v>kWh</v>
      </c>
      <c r="D134" s="63" t="s">
        <v>103</v>
      </c>
      <c r="E134" s="152"/>
    </row>
    <row r="135" spans="1:5" ht="12.75">
      <c r="A135" s="128" t="s">
        <v>131</v>
      </c>
      <c r="B135" s="139">
        <f>B132*$H$17</f>
        <v>14699.071256909205</v>
      </c>
      <c r="C135" s="127" t="str">
        <f>$I$17</f>
        <v>kWh</v>
      </c>
      <c r="D135" s="63" t="s">
        <v>103</v>
      </c>
      <c r="E135" s="152"/>
    </row>
    <row r="136" spans="1:5" ht="12.75">
      <c r="A136" s="128" t="s">
        <v>129</v>
      </c>
      <c r="B136" s="139">
        <f>B133*($B$204*$B$203-$B$204*B129*B131/60)</f>
        <v>2394.24</v>
      </c>
      <c r="C136" s="127" t="s">
        <v>50</v>
      </c>
      <c r="D136" s="63" t="s">
        <v>103</v>
      </c>
      <c r="E136" s="152"/>
    </row>
    <row r="137" spans="1:5" ht="12.75">
      <c r="A137" s="128" t="s">
        <v>48</v>
      </c>
      <c r="B137" s="144">
        <v>6900</v>
      </c>
      <c r="C137" s="127"/>
      <c r="D137" s="63" t="s">
        <v>104</v>
      </c>
      <c r="E137" s="133"/>
    </row>
    <row r="138" spans="1:5" ht="12.75">
      <c r="A138" s="130" t="s">
        <v>76</v>
      </c>
      <c r="B138" s="149">
        <v>15</v>
      </c>
      <c r="C138" s="150" t="s">
        <v>77</v>
      </c>
      <c r="D138" s="155" t="s">
        <v>104</v>
      </c>
      <c r="E138" s="133"/>
    </row>
    <row r="139" spans="1:5" ht="12.75">
      <c r="A139" s="185" t="s">
        <v>120</v>
      </c>
      <c r="B139" s="177"/>
      <c r="C139" s="178"/>
      <c r="D139" s="179"/>
      <c r="E139" s="152"/>
    </row>
    <row r="140" spans="1:5" ht="12.75">
      <c r="A140" s="128" t="s">
        <v>100</v>
      </c>
      <c r="B140" s="138">
        <v>400</v>
      </c>
      <c r="C140" s="127" t="s">
        <v>144</v>
      </c>
      <c r="D140" s="63" t="s">
        <v>114</v>
      </c>
      <c r="E140" s="133"/>
    </row>
    <row r="141" spans="1:5" ht="12.75">
      <c r="A141" s="128" t="s">
        <v>74</v>
      </c>
      <c r="B141" s="138">
        <v>1.23</v>
      </c>
      <c r="C141" s="127" t="s">
        <v>73</v>
      </c>
      <c r="D141" s="63" t="s">
        <v>78</v>
      </c>
      <c r="E141" s="133"/>
    </row>
    <row r="142" spans="1:5" ht="12.75">
      <c r="A142" s="128" t="s">
        <v>127</v>
      </c>
      <c r="B142" s="138">
        <v>0.3</v>
      </c>
      <c r="C142" s="127" t="s">
        <v>128</v>
      </c>
      <c r="D142" s="63" t="s">
        <v>78</v>
      </c>
      <c r="E142" s="133"/>
    </row>
    <row r="143" spans="1:5" ht="12.75">
      <c r="A143" s="128" t="s">
        <v>101</v>
      </c>
      <c r="B143" s="139">
        <f>$B$204*B140*B141</f>
        <v>177120</v>
      </c>
      <c r="C143" s="127" t="s">
        <v>73</v>
      </c>
      <c r="D143" s="63" t="s">
        <v>103</v>
      </c>
      <c r="E143" s="152"/>
    </row>
    <row r="144" spans="1:5" ht="12.75">
      <c r="A144" s="128" t="s">
        <v>102</v>
      </c>
      <c r="B144" s="138">
        <v>0.69</v>
      </c>
      <c r="C144" s="127" t="s">
        <v>95</v>
      </c>
      <c r="D144" s="63" t="s">
        <v>104</v>
      </c>
      <c r="E144" s="152"/>
    </row>
    <row r="145" spans="1:5" ht="12.75">
      <c r="A145" s="128" t="s">
        <v>130</v>
      </c>
      <c r="B145" s="139">
        <f>B143*$H$22</f>
        <v>31388.64174652487</v>
      </c>
      <c r="C145" s="127" t="str">
        <f>$I$22</f>
        <v>kWh</v>
      </c>
      <c r="D145" s="63" t="s">
        <v>103</v>
      </c>
      <c r="E145" s="152"/>
    </row>
    <row r="146" spans="1:5" ht="12.75">
      <c r="A146" s="128" t="s">
        <v>131</v>
      </c>
      <c r="B146" s="139">
        <v>0</v>
      </c>
      <c r="C146" s="127" t="str">
        <f>$I$17</f>
        <v>kWh</v>
      </c>
      <c r="D146" s="63" t="s">
        <v>114</v>
      </c>
      <c r="E146" s="152"/>
    </row>
    <row r="147" spans="1:5" ht="12.75">
      <c r="A147" s="128" t="s">
        <v>129</v>
      </c>
      <c r="B147" s="139">
        <f>B144*($B$204*$B$203-$B$204*B140*B142/60)</f>
        <v>3974.3999999999996</v>
      </c>
      <c r="C147" s="127" t="s">
        <v>50</v>
      </c>
      <c r="D147" s="63" t="s">
        <v>103</v>
      </c>
      <c r="E147" s="152"/>
    </row>
    <row r="148" spans="1:5" ht="12.75">
      <c r="A148" s="128" t="s">
        <v>48</v>
      </c>
      <c r="B148" s="144">
        <v>11000</v>
      </c>
      <c r="C148" s="127"/>
      <c r="D148" s="63" t="s">
        <v>138</v>
      </c>
      <c r="E148" s="133"/>
    </row>
    <row r="149" spans="1:5" ht="12.75">
      <c r="A149" s="128" t="s">
        <v>76</v>
      </c>
      <c r="B149" s="139">
        <v>20</v>
      </c>
      <c r="C149" s="127" t="s">
        <v>77</v>
      </c>
      <c r="D149" s="63" t="s">
        <v>104</v>
      </c>
      <c r="E149" s="133"/>
    </row>
    <row r="150" spans="1:5" ht="12.75">
      <c r="A150" s="176" t="s">
        <v>121</v>
      </c>
      <c r="B150" s="177"/>
      <c r="C150" s="178"/>
      <c r="D150" s="179"/>
      <c r="E150" s="152"/>
    </row>
    <row r="151" spans="1:5" ht="12.75">
      <c r="A151" s="128" t="s">
        <v>100</v>
      </c>
      <c r="B151" s="138">
        <v>400</v>
      </c>
      <c r="C151" s="127" t="s">
        <v>144</v>
      </c>
      <c r="D151" s="63" t="s">
        <v>114</v>
      </c>
      <c r="E151" s="152"/>
    </row>
    <row r="152" spans="1:5" ht="12.75">
      <c r="A152" s="128" t="s">
        <v>74</v>
      </c>
      <c r="B152" s="138">
        <v>1.13</v>
      </c>
      <c r="C152" s="127" t="s">
        <v>73</v>
      </c>
      <c r="D152" s="63" t="s">
        <v>78</v>
      </c>
      <c r="E152" s="133"/>
    </row>
    <row r="153" spans="1:5" ht="12.75">
      <c r="A153" s="128" t="s">
        <v>127</v>
      </c>
      <c r="B153" s="138">
        <v>0.3</v>
      </c>
      <c r="C153" s="127" t="s">
        <v>128</v>
      </c>
      <c r="D153" s="63" t="s">
        <v>78</v>
      </c>
      <c r="E153" s="133"/>
    </row>
    <row r="154" spans="1:5" ht="12.75">
      <c r="A154" s="128" t="s">
        <v>101</v>
      </c>
      <c r="B154" s="139">
        <f>$B$204*B151*B152</f>
        <v>162719.99999999997</v>
      </c>
      <c r="C154" s="127" t="s">
        <v>73</v>
      </c>
      <c r="D154" s="63" t="s">
        <v>103</v>
      </c>
      <c r="E154" s="152"/>
    </row>
    <row r="155" spans="1:5" ht="12.75">
      <c r="A155" s="128" t="s">
        <v>102</v>
      </c>
      <c r="B155" s="138">
        <v>2.3</v>
      </c>
      <c r="C155" s="127" t="s">
        <v>95</v>
      </c>
      <c r="D155" s="63" t="s">
        <v>78</v>
      </c>
      <c r="E155" s="152"/>
    </row>
    <row r="156" spans="1:5" ht="12.75">
      <c r="A156" s="128" t="s">
        <v>130</v>
      </c>
      <c r="B156" s="139">
        <f>B154*$H$22</f>
        <v>28836.719653311462</v>
      </c>
      <c r="C156" s="127" t="str">
        <f>$I$22</f>
        <v>kWh</v>
      </c>
      <c r="D156" s="63" t="s">
        <v>103</v>
      </c>
      <c r="E156" s="152"/>
    </row>
    <row r="157" spans="1:5" ht="12.75">
      <c r="A157" s="128" t="s">
        <v>131</v>
      </c>
      <c r="B157" s="139">
        <f>B154*$H$17</f>
        <v>16478.125516177974</v>
      </c>
      <c r="C157" s="127" t="str">
        <f>$I$17</f>
        <v>kWh</v>
      </c>
      <c r="D157" s="63" t="s">
        <v>103</v>
      </c>
      <c r="E157" s="152"/>
    </row>
    <row r="158" spans="1:5" ht="12.75">
      <c r="A158" s="128" t="s">
        <v>129</v>
      </c>
      <c r="B158" s="139">
        <f>B155*($B$204*$B$203-$B$204*B151*B153/60)</f>
        <v>13247.999999999998</v>
      </c>
      <c r="C158" s="127" t="s">
        <v>50</v>
      </c>
      <c r="D158" s="63" t="s">
        <v>103</v>
      </c>
      <c r="E158" s="152"/>
    </row>
    <row r="159" spans="1:5" ht="12.75">
      <c r="A159" s="128" t="s">
        <v>48</v>
      </c>
      <c r="B159" s="144">
        <v>12000</v>
      </c>
      <c r="C159" s="127"/>
      <c r="D159" s="63" t="s">
        <v>138</v>
      </c>
      <c r="E159" s="133"/>
    </row>
    <row r="160" spans="1:5" ht="12.75">
      <c r="A160" s="128" t="s">
        <v>76</v>
      </c>
      <c r="B160" s="139">
        <v>20</v>
      </c>
      <c r="C160" s="127" t="s">
        <v>77</v>
      </c>
      <c r="D160" s="63" t="s">
        <v>104</v>
      </c>
      <c r="E160" s="133"/>
    </row>
    <row r="161" spans="1:5" ht="12.75">
      <c r="A161" s="176" t="s">
        <v>122</v>
      </c>
      <c r="B161" s="177"/>
      <c r="C161" s="178"/>
      <c r="D161" s="179"/>
      <c r="E161" s="152"/>
    </row>
    <row r="162" spans="1:5" ht="12.75">
      <c r="A162" s="128" t="s">
        <v>100</v>
      </c>
      <c r="B162" s="138">
        <v>600</v>
      </c>
      <c r="C162" s="127" t="s">
        <v>144</v>
      </c>
      <c r="D162" s="63" t="s">
        <v>114</v>
      </c>
      <c r="E162" s="133"/>
    </row>
    <row r="163" spans="1:5" ht="12.75">
      <c r="A163" s="128" t="s">
        <v>74</v>
      </c>
      <c r="B163" s="138">
        <v>0.99</v>
      </c>
      <c r="C163" s="127" t="s">
        <v>73</v>
      </c>
      <c r="D163" s="63" t="s">
        <v>78</v>
      </c>
      <c r="E163" s="133"/>
    </row>
    <row r="164" spans="1:5" ht="12.75">
      <c r="A164" s="128" t="s">
        <v>127</v>
      </c>
      <c r="B164" s="138">
        <v>0.3</v>
      </c>
      <c r="C164" s="127" t="s">
        <v>128</v>
      </c>
      <c r="D164" s="63" t="s">
        <v>78</v>
      </c>
      <c r="E164" s="133"/>
    </row>
    <row r="165" spans="1:5" ht="12.75">
      <c r="A165" s="128" t="s">
        <v>101</v>
      </c>
      <c r="B165" s="139">
        <f>$B$204*B162*B163</f>
        <v>213840</v>
      </c>
      <c r="C165" s="127" t="s">
        <v>73</v>
      </c>
      <c r="D165" s="63" t="s">
        <v>103</v>
      </c>
      <c r="E165" s="152"/>
    </row>
    <row r="166" spans="1:5" ht="12.75">
      <c r="A166" s="128" t="s">
        <v>102</v>
      </c>
      <c r="B166" s="138">
        <v>1.6</v>
      </c>
      <c r="C166" s="127" t="s">
        <v>95</v>
      </c>
      <c r="D166" s="63" t="s">
        <v>78</v>
      </c>
      <c r="E166" s="152"/>
    </row>
    <row r="167" spans="1:5" ht="12.75">
      <c r="A167" s="128" t="s">
        <v>130</v>
      </c>
      <c r="B167" s="139">
        <f>B165*$H$22</f>
        <v>37896.043084219054</v>
      </c>
      <c r="C167" s="127" t="str">
        <f>$I$22</f>
        <v>kWh</v>
      </c>
      <c r="D167" s="63" t="s">
        <v>103</v>
      </c>
      <c r="E167" s="152"/>
    </row>
    <row r="168" spans="1:5" ht="12.75">
      <c r="A168" s="128" t="s">
        <v>131</v>
      </c>
      <c r="B168" s="138">
        <v>0</v>
      </c>
      <c r="C168" s="127" t="str">
        <f>$I$17</f>
        <v>kWh</v>
      </c>
      <c r="D168" s="63" t="s">
        <v>103</v>
      </c>
      <c r="E168" s="152"/>
    </row>
    <row r="169" spans="1:5" ht="12.75">
      <c r="A169" s="128" t="s">
        <v>129</v>
      </c>
      <c r="B169" s="139">
        <f>B166*($B$204*$B$203-$B$204*B162*B164/60)</f>
        <v>8640</v>
      </c>
      <c r="C169" s="127" t="s">
        <v>50</v>
      </c>
      <c r="D169" s="63" t="s">
        <v>103</v>
      </c>
      <c r="E169" s="152"/>
    </row>
    <row r="170" spans="1:5" ht="12.75">
      <c r="A170" s="128" t="s">
        <v>48</v>
      </c>
      <c r="B170" s="144">
        <v>18000</v>
      </c>
      <c r="C170" s="127"/>
      <c r="D170" s="63" t="s">
        <v>138</v>
      </c>
      <c r="E170" s="133"/>
    </row>
    <row r="171" spans="1:5" ht="12.75">
      <c r="A171" s="128" t="s">
        <v>76</v>
      </c>
      <c r="B171" s="139">
        <v>20</v>
      </c>
      <c r="C171" s="127" t="s">
        <v>77</v>
      </c>
      <c r="D171" s="63" t="s">
        <v>104</v>
      </c>
      <c r="E171" s="133"/>
    </row>
    <row r="172" spans="1:5" ht="12.75">
      <c r="A172" s="176" t="s">
        <v>123</v>
      </c>
      <c r="B172" s="177"/>
      <c r="C172" s="178"/>
      <c r="D172" s="179"/>
      <c r="E172" s="152"/>
    </row>
    <row r="173" spans="1:5" ht="12.75">
      <c r="A173" s="128" t="s">
        <v>100</v>
      </c>
      <c r="B173" s="138">
        <v>600</v>
      </c>
      <c r="C173" s="127" t="s">
        <v>144</v>
      </c>
      <c r="D173" s="63" t="s">
        <v>114</v>
      </c>
      <c r="E173" s="133"/>
    </row>
    <row r="174" spans="1:5" ht="12.75">
      <c r="A174" s="128" t="s">
        <v>74</v>
      </c>
      <c r="B174" s="138">
        <v>1.1</v>
      </c>
      <c r="C174" s="127" t="s">
        <v>73</v>
      </c>
      <c r="D174" s="63" t="s">
        <v>78</v>
      </c>
      <c r="E174" s="133"/>
    </row>
    <row r="175" spans="1:5" ht="12.75">
      <c r="A175" s="128" t="s">
        <v>127</v>
      </c>
      <c r="B175" s="138">
        <v>0.2</v>
      </c>
      <c r="C175" s="127" t="s">
        <v>128</v>
      </c>
      <c r="D175" s="63" t="s">
        <v>78</v>
      </c>
      <c r="E175" s="133"/>
    </row>
    <row r="176" spans="1:5" ht="12.75">
      <c r="A176" s="128" t="s">
        <v>101</v>
      </c>
      <c r="B176" s="139">
        <f>$B$204*B173*B174</f>
        <v>237600.00000000003</v>
      </c>
      <c r="C176" s="127" t="s">
        <v>73</v>
      </c>
      <c r="D176" s="63" t="s">
        <v>103</v>
      </c>
      <c r="E176" s="152"/>
    </row>
    <row r="177" spans="1:5" ht="12.75">
      <c r="A177" s="128" t="s">
        <v>102</v>
      </c>
      <c r="B177" s="138">
        <v>2.4</v>
      </c>
      <c r="C177" s="127" t="s">
        <v>95</v>
      </c>
      <c r="D177" s="63" t="s">
        <v>78</v>
      </c>
      <c r="E177" s="152"/>
    </row>
    <row r="178" spans="1:5" ht="12.75">
      <c r="A178" s="128" t="s">
        <v>130</v>
      </c>
      <c r="B178" s="139">
        <f>B176*$H$22</f>
        <v>42106.71453802117</v>
      </c>
      <c r="C178" s="127" t="str">
        <f>$I$22</f>
        <v>kWh</v>
      </c>
      <c r="D178" s="63" t="s">
        <v>103</v>
      </c>
      <c r="E178" s="152"/>
    </row>
    <row r="179" spans="1:5" ht="12.75">
      <c r="A179" s="128" t="s">
        <v>131</v>
      </c>
      <c r="B179" s="139">
        <f>B176*$H$17</f>
        <v>24060.979736012094</v>
      </c>
      <c r="C179" s="127" t="str">
        <f>$I$17</f>
        <v>kWh</v>
      </c>
      <c r="D179" s="63" t="s">
        <v>103</v>
      </c>
      <c r="E179" s="152"/>
    </row>
    <row r="180" spans="1:5" ht="12.75">
      <c r="A180" s="128" t="s">
        <v>129</v>
      </c>
      <c r="B180" s="139">
        <f>B177*($B$204*$B$203-$B$204*B173*B175/60)</f>
        <v>13824</v>
      </c>
      <c r="C180" s="127" t="s">
        <v>50</v>
      </c>
      <c r="D180" s="63" t="s">
        <v>103</v>
      </c>
      <c r="E180" s="152"/>
    </row>
    <row r="181" spans="1:5" ht="12.75">
      <c r="A181" s="128" t="s">
        <v>48</v>
      </c>
      <c r="B181" s="144">
        <v>20000</v>
      </c>
      <c r="C181" s="127"/>
      <c r="D181" s="63" t="s">
        <v>138</v>
      </c>
      <c r="E181" s="133"/>
    </row>
    <row r="182" spans="1:5" ht="12.75">
      <c r="A182" s="128" t="s">
        <v>76</v>
      </c>
      <c r="B182" s="139">
        <v>20</v>
      </c>
      <c r="C182" s="127" t="s">
        <v>77</v>
      </c>
      <c r="D182" s="63" t="s">
        <v>104</v>
      </c>
      <c r="E182" s="133"/>
    </row>
    <row r="183" spans="1:5" ht="12.75">
      <c r="A183" s="128"/>
      <c r="B183" s="139"/>
      <c r="C183" s="127"/>
      <c r="D183" s="63"/>
      <c r="E183" s="152"/>
    </row>
    <row r="184" spans="1:5" ht="12.75">
      <c r="A184" s="159" t="s">
        <v>83</v>
      </c>
      <c r="B184" s="138"/>
      <c r="C184" s="127"/>
      <c r="D184" s="63"/>
      <c r="E184" s="152"/>
    </row>
    <row r="185" spans="1:5" ht="12.75">
      <c r="A185" s="58" t="s">
        <v>84</v>
      </c>
      <c r="B185" s="138"/>
      <c r="C185" s="127"/>
      <c r="D185" s="63"/>
      <c r="E185" s="152"/>
    </row>
    <row r="186" spans="1:5" ht="12.75">
      <c r="A186" s="128" t="s">
        <v>85</v>
      </c>
      <c r="B186" s="141">
        <v>0.7</v>
      </c>
      <c r="C186" s="127"/>
      <c r="D186" s="63" t="s">
        <v>114</v>
      </c>
      <c r="E186" s="152"/>
    </row>
    <row r="187" spans="1:5" ht="12.75">
      <c r="A187" s="58" t="s">
        <v>86</v>
      </c>
      <c r="B187" s="138"/>
      <c r="C187" s="127"/>
      <c r="D187" s="63"/>
      <c r="E187" s="152"/>
    </row>
    <row r="188" spans="1:5" ht="12.75">
      <c r="A188" s="128" t="s">
        <v>85</v>
      </c>
      <c r="B188" s="141">
        <v>0.95</v>
      </c>
      <c r="C188" s="127"/>
      <c r="D188" s="63" t="s">
        <v>114</v>
      </c>
      <c r="E188" s="152"/>
    </row>
    <row r="189" spans="1:5" ht="12.75">
      <c r="A189" s="58" t="s">
        <v>87</v>
      </c>
      <c r="B189" s="138">
        <v>70</v>
      </c>
      <c r="C189" s="127" t="s">
        <v>89</v>
      </c>
      <c r="D189" s="63"/>
      <c r="E189" s="152"/>
    </row>
    <row r="190" spans="1:5" ht="38.25">
      <c r="A190" s="58" t="s">
        <v>96</v>
      </c>
      <c r="B190" s="138">
        <v>1</v>
      </c>
      <c r="C190" s="127" t="s">
        <v>98</v>
      </c>
      <c r="D190" s="63" t="s">
        <v>99</v>
      </c>
      <c r="E190" s="152"/>
    </row>
    <row r="191" spans="1:5" ht="38.25">
      <c r="A191" s="58" t="s">
        <v>97</v>
      </c>
      <c r="B191" s="142">
        <f>61.4/7.48</f>
        <v>8.208556149732619</v>
      </c>
      <c r="C191" s="127" t="s">
        <v>108</v>
      </c>
      <c r="D191" s="63" t="s">
        <v>99</v>
      </c>
      <c r="E191" s="152"/>
    </row>
    <row r="192" spans="1:5" ht="12.75">
      <c r="A192" s="58"/>
      <c r="B192" s="138"/>
      <c r="C192" s="127"/>
      <c r="D192" s="63"/>
      <c r="E192" s="152"/>
    </row>
    <row r="193" spans="1:5" ht="12.75">
      <c r="A193" s="160" t="s">
        <v>88</v>
      </c>
      <c r="B193" s="138"/>
      <c r="C193" s="127"/>
      <c r="D193" s="63"/>
      <c r="E193" s="152"/>
    </row>
    <row r="194" spans="1:5" ht="12.75">
      <c r="A194" s="58" t="s">
        <v>84</v>
      </c>
      <c r="B194" s="138"/>
      <c r="C194" s="127"/>
      <c r="D194" s="63"/>
      <c r="E194" s="152"/>
    </row>
    <row r="195" spans="1:5" ht="12.75">
      <c r="A195" s="128" t="s">
        <v>85</v>
      </c>
      <c r="B195" s="141">
        <v>0.8</v>
      </c>
      <c r="C195" s="127"/>
      <c r="D195" s="63"/>
      <c r="E195" s="152"/>
    </row>
    <row r="196" spans="1:5" ht="12.75">
      <c r="A196" s="58" t="s">
        <v>86</v>
      </c>
      <c r="B196" s="138"/>
      <c r="C196" s="127"/>
      <c r="D196" s="63"/>
      <c r="E196" s="152"/>
    </row>
    <row r="197" spans="1:5" ht="12.75">
      <c r="A197" s="128" t="s">
        <v>85</v>
      </c>
      <c r="B197" s="141">
        <v>0.95</v>
      </c>
      <c r="C197" s="127"/>
      <c r="D197" s="63"/>
      <c r="E197" s="152"/>
    </row>
    <row r="198" spans="1:5" ht="12.75">
      <c r="A198" s="58" t="s">
        <v>87</v>
      </c>
      <c r="B198" s="138">
        <v>40</v>
      </c>
      <c r="C198" s="127" t="s">
        <v>89</v>
      </c>
      <c r="D198" s="63"/>
      <c r="E198" s="152"/>
    </row>
    <row r="199" spans="1:5" ht="51">
      <c r="A199" s="58" t="s">
        <v>96</v>
      </c>
      <c r="B199" s="138">
        <v>1</v>
      </c>
      <c r="C199" s="127" t="s">
        <v>98</v>
      </c>
      <c r="D199" s="63" t="s">
        <v>139</v>
      </c>
      <c r="E199" s="152"/>
    </row>
    <row r="200" spans="1:5" ht="51">
      <c r="A200" s="58" t="s">
        <v>97</v>
      </c>
      <c r="B200" s="142">
        <f>61.4/7.48</f>
        <v>8.208556149732619</v>
      </c>
      <c r="C200" s="127" t="s">
        <v>108</v>
      </c>
      <c r="D200" s="63" t="s">
        <v>139</v>
      </c>
      <c r="E200" s="152"/>
    </row>
    <row r="201" spans="1:5" ht="12.75">
      <c r="A201" s="58"/>
      <c r="B201" s="138"/>
      <c r="C201" s="127"/>
      <c r="D201" s="63"/>
      <c r="E201" s="152"/>
    </row>
    <row r="202" spans="1:5" ht="12.75">
      <c r="A202" s="160" t="s">
        <v>90</v>
      </c>
      <c r="B202" s="138"/>
      <c r="C202" s="127"/>
      <c r="D202" s="63"/>
      <c r="E202" s="152"/>
    </row>
    <row r="203" spans="1:5" ht="12.75">
      <c r="A203" s="58" t="s">
        <v>91</v>
      </c>
      <c r="B203" s="138">
        <v>18</v>
      </c>
      <c r="C203" s="127" t="s">
        <v>92</v>
      </c>
      <c r="D203" s="63"/>
      <c r="E203" s="152"/>
    </row>
    <row r="204" spans="1:5" ht="12.75">
      <c r="A204" s="175" t="s">
        <v>93</v>
      </c>
      <c r="B204" s="174">
        <v>360</v>
      </c>
      <c r="C204" s="150" t="s">
        <v>94</v>
      </c>
      <c r="D204" s="155"/>
      <c r="E204" s="152"/>
    </row>
    <row r="205" spans="1:5" ht="12.75">
      <c r="A205" s="140"/>
      <c r="B205" s="139"/>
      <c r="C205" s="127"/>
      <c r="D205" s="63"/>
      <c r="E205" s="152"/>
    </row>
    <row r="206" spans="1:5" ht="14.25">
      <c r="A206" s="161" t="s">
        <v>21</v>
      </c>
      <c r="B206" s="142"/>
      <c r="C206" s="143"/>
      <c r="D206" s="63"/>
      <c r="E206" s="152"/>
    </row>
    <row r="207" spans="1:5" ht="12.75">
      <c r="A207" s="128" t="s">
        <v>25</v>
      </c>
      <c r="B207" s="144">
        <v>20</v>
      </c>
      <c r="C207" s="127"/>
      <c r="D207" s="63" t="s">
        <v>34</v>
      </c>
      <c r="E207" s="152"/>
    </row>
    <row r="208" spans="1:5" ht="12.75">
      <c r="A208" s="128" t="s">
        <v>32</v>
      </c>
      <c r="B208" s="138">
        <v>0</v>
      </c>
      <c r="C208" s="127"/>
      <c r="D208" s="63" t="s">
        <v>34</v>
      </c>
      <c r="E208" s="152"/>
    </row>
    <row r="209" spans="1:5" ht="12.75">
      <c r="A209" s="128"/>
      <c r="B209" s="138"/>
      <c r="C209" s="127"/>
      <c r="D209" s="63"/>
      <c r="E209" s="152"/>
    </row>
    <row r="210" spans="1:5" ht="14.25">
      <c r="A210" s="129" t="s">
        <v>22</v>
      </c>
      <c r="B210" s="138"/>
      <c r="C210" s="127"/>
      <c r="D210" s="63"/>
      <c r="E210" s="152"/>
    </row>
    <row r="211" spans="1:5" ht="89.25">
      <c r="A211" s="162" t="s">
        <v>23</v>
      </c>
      <c r="B211" s="145">
        <v>0.04</v>
      </c>
      <c r="C211" s="127"/>
      <c r="D211" s="63" t="s">
        <v>24</v>
      </c>
      <c r="E211" s="152"/>
    </row>
    <row r="212" spans="1:5" ht="12.75">
      <c r="A212" s="58"/>
      <c r="B212" s="138"/>
      <c r="C212" s="127"/>
      <c r="D212" s="63"/>
      <c r="E212" s="152"/>
    </row>
    <row r="213" spans="1:5" ht="14.25">
      <c r="A213" s="129" t="s">
        <v>47</v>
      </c>
      <c r="B213" s="138"/>
      <c r="C213" s="127"/>
      <c r="D213" s="63"/>
      <c r="E213" s="152"/>
    </row>
    <row r="214" spans="1:5" ht="12.75">
      <c r="A214" s="128" t="s">
        <v>68</v>
      </c>
      <c r="B214" s="146">
        <v>0.09039</v>
      </c>
      <c r="C214" s="127" t="s">
        <v>36</v>
      </c>
      <c r="D214" s="187" t="s">
        <v>146</v>
      </c>
      <c r="E214" s="152"/>
    </row>
    <row r="215" spans="1:5" ht="12.75">
      <c r="A215" s="128" t="s">
        <v>69</v>
      </c>
      <c r="B215" s="146">
        <v>4.158</v>
      </c>
      <c r="C215" s="127" t="s">
        <v>43</v>
      </c>
      <c r="D215" s="63" t="s">
        <v>55</v>
      </c>
      <c r="E215" s="152"/>
    </row>
    <row r="216" spans="1:5" ht="12.75">
      <c r="A216" s="128" t="s">
        <v>70</v>
      </c>
      <c r="B216" s="147">
        <v>1.1712</v>
      </c>
      <c r="C216" s="127" t="s">
        <v>51</v>
      </c>
      <c r="D216" s="187" t="s">
        <v>146</v>
      </c>
      <c r="E216" s="152"/>
    </row>
    <row r="217" spans="1:5" ht="12.75">
      <c r="A217" s="128"/>
      <c r="B217" s="147"/>
      <c r="C217" s="127"/>
      <c r="D217" s="63"/>
      <c r="E217" s="152"/>
    </row>
    <row r="218" spans="1:5" ht="14.25">
      <c r="A218" s="129" t="s">
        <v>81</v>
      </c>
      <c r="B218" s="147"/>
      <c r="C218" s="127"/>
      <c r="D218" s="63"/>
      <c r="E218" s="152"/>
    </row>
    <row r="219" spans="1:5" ht="12.75">
      <c r="A219" s="128" t="s">
        <v>82</v>
      </c>
      <c r="B219" s="148">
        <v>0.1</v>
      </c>
      <c r="C219" s="127" t="s">
        <v>143</v>
      </c>
      <c r="D219" s="63"/>
      <c r="E219" s="152"/>
    </row>
    <row r="220" spans="1:5" ht="12.75">
      <c r="A220" s="128" t="s">
        <v>141</v>
      </c>
      <c r="B220" s="139">
        <v>3413</v>
      </c>
      <c r="C220" s="127" t="s">
        <v>142</v>
      </c>
      <c r="D220" s="63"/>
      <c r="E220" s="152"/>
    </row>
    <row r="221" spans="1:5" ht="14.25">
      <c r="A221" s="129" t="s">
        <v>33</v>
      </c>
      <c r="B221" s="138"/>
      <c r="C221" s="127"/>
      <c r="D221" s="63"/>
      <c r="E221" s="152"/>
    </row>
    <row r="222" spans="1:5" ht="14.25">
      <c r="A222" s="128" t="s">
        <v>37</v>
      </c>
      <c r="B222" s="138">
        <v>1.535</v>
      </c>
      <c r="C222" s="127" t="s">
        <v>38</v>
      </c>
      <c r="D222" s="63" t="s">
        <v>67</v>
      </c>
      <c r="E222" s="152"/>
    </row>
    <row r="223" spans="1:5" ht="14.25">
      <c r="A223" s="128" t="s">
        <v>75</v>
      </c>
      <c r="B223" s="138">
        <v>116.3</v>
      </c>
      <c r="C223" s="127" t="s">
        <v>79</v>
      </c>
      <c r="D223" s="63" t="s">
        <v>67</v>
      </c>
      <c r="E223" s="152"/>
    </row>
    <row r="224" spans="1:5" ht="12.75">
      <c r="A224" s="58"/>
      <c r="B224" s="138"/>
      <c r="C224" s="127"/>
      <c r="D224" s="63"/>
      <c r="E224" s="152"/>
    </row>
    <row r="225" spans="1:5" ht="14.25">
      <c r="A225" s="129" t="s">
        <v>66</v>
      </c>
      <c r="B225" s="139"/>
      <c r="C225" s="127"/>
      <c r="D225" s="63"/>
      <c r="E225" s="152"/>
    </row>
    <row r="226" spans="1:5" ht="14.25">
      <c r="A226" s="128" t="s">
        <v>26</v>
      </c>
      <c r="B226" s="139">
        <v>8066</v>
      </c>
      <c r="C226" s="127" t="s">
        <v>44</v>
      </c>
      <c r="D226" s="63" t="s">
        <v>34</v>
      </c>
      <c r="E226" s="152"/>
    </row>
    <row r="227" spans="1:5" ht="14.25">
      <c r="A227" s="130" t="s">
        <v>27</v>
      </c>
      <c r="B227" s="149">
        <v>11470</v>
      </c>
      <c r="C227" s="150" t="s">
        <v>44</v>
      </c>
      <c r="D227" s="155" t="s">
        <v>34</v>
      </c>
      <c r="E227" s="152"/>
    </row>
    <row r="229" spans="1:2" ht="12.75">
      <c r="A229" s="163" t="s">
        <v>56</v>
      </c>
      <c r="B229" s="164" t="s">
        <v>57</v>
      </c>
    </row>
    <row r="230" spans="1:2" ht="12.75">
      <c r="A230" s="165"/>
      <c r="B230" s="112"/>
    </row>
    <row r="231" spans="1:2" ht="12.75">
      <c r="A231" s="165" t="s">
        <v>145</v>
      </c>
      <c r="B231" s="112"/>
    </row>
  </sheetData>
  <sheetProtection/>
  <mergeCells count="5">
    <mergeCell ref="L3:O3"/>
    <mergeCell ref="A1:D1"/>
    <mergeCell ref="B3:C3"/>
    <mergeCell ref="H3:K3"/>
    <mergeCell ref="G1:P2"/>
  </mergeCells>
  <hyperlinks>
    <hyperlink ref="B229" r:id="rId1" display="Escalcs@cadmusgroup.com"/>
  </hyperlinks>
  <printOptions horizontalCentered="1"/>
  <pageMargins left="0" right="0" top="0.5" bottom="0.5" header="0" footer="0.25"/>
  <pageSetup horizontalDpi="600" verticalDpi="600" orientation="portrait" scale="70" r:id="rId2"/>
  <headerFooter alignWithMargins="0">
    <oddHeader>&amp;C&amp;F</oddHeader>
    <oddFooter>&amp;CPage &amp;P of &amp;N</oddFooter>
  </headerFooter>
  <rowBreaks count="2" manualBreakCount="2">
    <brk id="70" max="3" man="1"/>
    <brk id="138"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ppappas</dc:creator>
  <cp:keywords/>
  <dc:description/>
  <cp:lastModifiedBy>Robert Huang</cp:lastModifiedBy>
  <cp:lastPrinted>2007-12-16T14:17:50Z</cp:lastPrinted>
  <dcterms:created xsi:type="dcterms:W3CDTF">2004-07-12T13:20:55Z</dcterms:created>
  <dcterms:modified xsi:type="dcterms:W3CDTF">2008-07-11T16:14:12Z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