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40" sheetId="1" r:id="rId1"/>
  </sheets>
  <definedNames>
    <definedName name="_xlnm.Print_Area" localSheetId="0">'HS-40'!$B$1:$N$19</definedName>
    <definedName name="TITLE">'HS-40'!$A$1:$A$1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<sst xmlns="http://schemas.openxmlformats.org/spreadsheetml/2006/main" count="563" uniqueCount="202">
  <si>
    <t xml:space="preserve">      Contracts awarded \1</t>
  </si>
  <si>
    <t xml:space="preserve">         </t>
  </si>
  <si>
    <t xml:space="preserve">New </t>
  </si>
  <si>
    <t xml:space="preserve">housing </t>
  </si>
  <si>
    <t>New</t>
  </si>
  <si>
    <t>Existing</t>
  </si>
  <si>
    <t xml:space="preserve">Industrial </t>
  </si>
  <si>
    <t>Manufacturing</t>
  </si>
  <si>
    <t>FN</t>
  </si>
  <si>
    <t>Retail</t>
  </si>
  <si>
    <t>Total</t>
  </si>
  <si>
    <t>General</t>
  </si>
  <si>
    <t>Year</t>
  </si>
  <si>
    <t xml:space="preserve">Floor </t>
  </si>
  <si>
    <t xml:space="preserve">units </t>
  </si>
  <si>
    <t>one-family</t>
  </si>
  <si>
    <t xml:space="preserve">one-family </t>
  </si>
  <si>
    <t xml:space="preserve"> production </t>
  </si>
  <si>
    <t xml:space="preserve">Manufacturing </t>
  </si>
  <si>
    <t>sales,</t>
  </si>
  <si>
    <t>exports</t>
  </si>
  <si>
    <t>imports</t>
  </si>
  <si>
    <t xml:space="preserve">Value </t>
  </si>
  <si>
    <t xml:space="preserve">space \2 </t>
  </si>
  <si>
    <t xml:space="preserve">started \3 </t>
  </si>
  <si>
    <t>houses</t>
  </si>
  <si>
    <t xml:space="preserve">houses </t>
  </si>
  <si>
    <t>Shipments</t>
  </si>
  <si>
    <t xml:space="preserve">Shipments \6 </t>
  </si>
  <si>
    <t>index, total \7</t>
  </si>
  <si>
    <t xml:space="preserve">index \7 </t>
  </si>
  <si>
    <t>Sales</t>
  </si>
  <si>
    <t xml:space="preserve">(F.a.s </t>
  </si>
  <si>
    <t>(Customs</t>
  </si>
  <si>
    <t xml:space="preserve">sold \5 </t>
  </si>
  <si>
    <t xml:space="preserve">UNIT INDICATORS </t>
  </si>
  <si>
    <t>(billion dollars)</t>
  </si>
  <si>
    <t>(million square feet)</t>
  </si>
  <si>
    <t>(1,000)</t>
  </si>
  <si>
    <t>(1997=100)</t>
  </si>
  <si>
    <t>1900</t>
  </si>
  <si>
    <t>(NA)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</si>
  <si>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</si>
  <si>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</si>
  <si>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</si>
  <si>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</si>
  <si>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</si>
  <si>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</si>
  <si>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</si>
  <si>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</si>
  <si>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</si>
  <si>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</si>
  <si>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</si>
  <si>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</si>
  <si>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</si>
  <si>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</si>
  <si>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</si>
  <si>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</si>
  <si>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</si>
  <si>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</si>
  <si>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</si>
  <si>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</si>
  <si>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</si>
  <si>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</si>
  <si>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</si>
  <si>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</si>
  <si>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</si>
  <si>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</si>
  <si>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</si>
  <si>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</si>
  <si>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</si>
  <si>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</si>
  <si>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</si>
  <si>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</si>
  <si>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</si>
  <si>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</si>
  <si>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</si>
  <si>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</si>
  <si>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</si>
  <si>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</si>
  <si>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</si>
  <si>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</si>
  <si>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</si>
  <si>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</si>
  <si>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</si>
  <si>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</si>
  <si>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</si>
  <si>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</si>
  <si>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\1\0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</si>
  <si>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</si>
  <si>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</si>
  <si>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</si>
  <si>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</si>
  <si>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</si>
  <si>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</si>
  <si>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</si>
  <si>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</si>
  <si>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</si>
  <si>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</si>
  <si>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</si>
  <si>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</si>
  <si>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</si>
  <si>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</si>
  <si>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</si>
  <si>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</si>
  <si>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</si>
  <si>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</si>
  <si>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</si>
  <si>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</si>
  <si>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</si>
  <si>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</si>
  <si>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</si>
  <si>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</si>
  <si>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</si>
  <si>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</si>
  <si>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</si>
  <si>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</si>
  <si>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</si>
  <si>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</si>
  <si>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</si>
  <si>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</si>
  <si>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</si>
  <si>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</si>
  <si>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</si>
  <si>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</si>
  <si>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</si>
  <si>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</si>
  <si>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</si>
  <si>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</si>
  <si>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</si>
  <si>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</si>
  <si>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</si>
  <si>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 xml:space="preserve">1990 </t>
  </si>
  <si>
    <t xml:space="preserve">1991 </t>
  </si>
  <si>
    <t xml:space="preserve">1992 </t>
  </si>
  <si>
    <t>\1\1</t>
  </si>
  <si>
    <t>\1\2</t>
  </si>
  <si>
    <t xml:space="preserve">1993 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</si>
  <si>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</si>
  <si>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</si>
  <si>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</si>
  <si>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</si>
  <si>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</si>
  <si>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</si>
  <si>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</si>
  <si>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</si>
  <si>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</si>
  <si>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Highest value</t>
  </si>
  <si>
    <t>Lowest value</t>
  </si>
  <si>
    <t>SYMBOL</t>
  </si>
  <si>
    <t>NA Not available.</t>
  </si>
  <si>
    <t>FOOTNOTES</t>
  </si>
  <si>
    <t>\1 Source: F. W. Dodge Division, McGraw-Hill Information</t>
  </si>
  <si>
    <t>Systems Company, New York, NY (copyright).</t>
  </si>
  <si>
    <t xml:space="preserve">\2 For 1929-1955, for 37 states; </t>
  </si>
  <si>
    <t xml:space="preserve">\3 Source: U.S. Census Bureau, </t>
  </si>
  <si>
    <t>\4 Source: U.S. Census Bureau and U.S. Dept. of Housing and Urban</t>
  </si>
  <si>
    <t xml:space="preserve">\6 U.S. Census Bureau, Current Industrial Reports, </t>
  </si>
  <si>
    <t xml:space="preserve">U.S. International Trade Administration, </t>
  </si>
  <si>
    <t>&lt;http://www.ita.doc.gov/td/industry/otea/usfth/aggregate/H01T03.html&gt;\ (released 2 February 2003).</t>
  </si>
  <si>
    <t>Source: Compiled from sources listed in footnotes.</t>
  </si>
  <si>
    <t>1956-1969, for 48 States; thereafter, for 50 states.</t>
  </si>
  <si>
    <t xml:space="preserve">Development, Current Construction Reports, Series C25, </t>
  </si>
  <si>
    <t>in 2001. See Internet site &lt;http://www.census.gov/const/www/newresconstindex.html\&gt; and</t>
  </si>
  <si>
    <t>&lt;http://www.census.gov/ftp/pub/const/www/newressalesindex.html\&gt;</t>
  </si>
  <si>
    <t>and New Residential Sales, &lt;med&gt;monthly.</t>
  </si>
  <si>
    <t>\&lt;http://www.census.gov/prod/2002pubs/m3-01.pdf\&gt; (released June 2002).</t>
  </si>
  <si>
    <t xml:space="preserve">1960-1996, U.S. Foreign Trade Highlights, annual; beginning 1997, </t>
  </si>
  <si>
    <t>\10 Break in series. Not entirely comparable with earlier years.</t>
  </si>
  <si>
    <t>\11 Break in series. Earlier years based on SIC basis. Beginning 1992, based on NAICS. Shipments on SIC basis were $3,005 billion in 1992. Beginning 1992, excludes semiconductor manufacturing.</t>
  </si>
  <si>
    <t xml:space="preserve">\12 Break in series. Earlier years based on SIC basis. Beginning 1992, based on NAICS and represents retail and food services (NAICS codes 44,45, and 722). </t>
  </si>
  <si>
    <t>No. HS-40. Economic Indicators for Construction and Real Estate, Manufacturing, Retail and Foreign Trade Sector: 1900 to 2002</t>
  </si>
  <si>
    <t>[189 represents 189,000]</t>
  </si>
  <si>
    <t>the North American Industry Classification System (NAICS) plus those industries-logging</t>
  </si>
  <si>
    <t>http://www.census.gov/const/www/newresconstindex.html</t>
  </si>
  <si>
    <t>http://www.census.gov/const/www/newressalesindex.html</t>
  </si>
  <si>
    <t>http://www.realtor.org/rodesign.nsf/pages/homepage?opendocument</t>
  </si>
  <si>
    <t>http://www.census.gov/ftp/pub/indicator/www/m3/index.htm</t>
  </si>
  <si>
    <t>http://www.federalreserve.gov/releases/</t>
  </si>
  <si>
    <t>http://www.census.gov/econ/www/retmenu.html</t>
  </si>
  <si>
    <t>http://www.census.gov/foreign-trade/www/</t>
  </si>
  <si>
    <t>INTERNET:</t>
  </si>
  <si>
    <t>sold \4</t>
  </si>
  <si>
    <t>total \8</t>
  </si>
  <si>
    <t>basis) \9</t>
  </si>
  <si>
    <t>\5 Source: NATIONAL ASSOCIATION OF REALTORS, Washington, DC,</t>
  </si>
  <si>
    <t xml:space="preserve">Total manufacturing series includes manufacturing as defined in </t>
  </si>
  <si>
    <t>and newspaper, periodical, book and directory publishing that have traditionally been</t>
  </si>
  <si>
    <t>considered to be manufacturing.</t>
  </si>
  <si>
    <t xml:space="preserve">March 2003, Series BR/01-A, and earlier reports. </t>
  </si>
  <si>
    <r>
      <t xml:space="preserve">\8 Source: U.S. Census Bureau, </t>
    </r>
    <r>
      <rPr>
        <i/>
        <sz val="12"/>
        <rFont val="Courier New"/>
        <family val="3"/>
      </rPr>
      <t>Current Business Reports,</t>
    </r>
  </si>
  <si>
    <r>
      <t>Annual Benchmark Report for Retail Trade and Food Services,</t>
    </r>
    <r>
      <rPr>
        <sz val="12"/>
        <rFont val="Courier New"/>
        <family val="0"/>
      </rPr>
      <t xml:space="preserve"> January 1992 Through</t>
    </r>
  </si>
  <si>
    <r>
      <t xml:space="preserve">Current Construction Reports, Series C20, </t>
    </r>
    <r>
      <rPr>
        <i/>
        <sz val="12"/>
        <rFont val="Courier New"/>
        <family val="3"/>
      </rPr>
      <t>Housing Starts,</t>
    </r>
    <r>
      <rPr>
        <sz val="12"/>
        <rFont val="Courier New"/>
        <family val="0"/>
      </rPr>
      <t xml:space="preserve"> monthly; publication discontinued</t>
    </r>
  </si>
  <si>
    <r>
      <t>New Residential Construction</t>
    </r>
    <r>
      <rPr>
        <sz val="12"/>
        <rFont val="Courier New"/>
        <family val="0"/>
      </rPr>
      <t>, monthly.</t>
    </r>
  </si>
  <si>
    <r>
      <t>Characteristics of New Housin</t>
    </r>
    <r>
      <rPr>
        <sz val="12"/>
        <rFont val="Courier New"/>
        <family val="0"/>
      </rPr>
      <t xml:space="preserve">g, annual; and </t>
    </r>
  </si>
  <si>
    <r>
      <t>New One-Family Houses Sold</t>
    </r>
    <r>
      <rPr>
        <sz val="12"/>
        <rFont val="Courier New"/>
        <family val="0"/>
      </rPr>
      <t>, monthly; publications discontinued in 2001. See Internet site</t>
    </r>
  </si>
  <si>
    <r>
      <t xml:space="preserve">prior to 1990, </t>
    </r>
    <r>
      <rPr>
        <i/>
        <sz val="12"/>
        <rFont val="Courier New"/>
        <family val="3"/>
      </rPr>
      <t>Home Sales</t>
    </r>
    <r>
      <rPr>
        <sz val="12"/>
        <rFont val="Courier New"/>
        <family val="0"/>
      </rPr>
      <t xml:space="preserve">, monthly, and </t>
    </r>
    <r>
      <rPr>
        <i/>
        <sz val="12"/>
        <rFont val="Courier New"/>
        <family val="3"/>
      </rPr>
      <t>Home Sales Yearbook: 1990</t>
    </r>
    <r>
      <rPr>
        <sz val="12"/>
        <rFont val="Courier New"/>
        <family val="0"/>
      </rPr>
      <t>; (copyright);</t>
    </r>
  </si>
  <si>
    <r>
      <t xml:space="preserve">thereafter, </t>
    </r>
    <r>
      <rPr>
        <i/>
        <sz val="12"/>
        <rFont val="Courier New"/>
        <family val="3"/>
      </rPr>
      <t>Real Estate Outlook; Market Trends &amp; Insights</t>
    </r>
    <r>
      <rPr>
        <sz val="12"/>
        <rFont val="Courier New"/>
        <family val="0"/>
      </rPr>
      <t>, monthly, (copyright).</t>
    </r>
  </si>
  <si>
    <r>
      <t>Manufacturers' Shipments, Inventories, and Orders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1992-2001, and December 2002</t>
    </r>
    <r>
      <rPr>
        <sz val="12"/>
        <rFont val="Courier New"/>
        <family val="0"/>
      </rPr>
      <t>, series M3-1(01) and M3-12(02) and earlier issues.  See also</t>
    </r>
  </si>
  <si>
    <r>
      <t xml:space="preserve">\7 Source: Board of Governors of the Federal Reserve System, </t>
    </r>
    <r>
      <rPr>
        <i/>
        <sz val="12"/>
        <rFont val="Courier New"/>
        <family val="3"/>
      </rPr>
      <t>Federal Reserve Bulletin</t>
    </r>
    <r>
      <rPr>
        <sz val="12"/>
        <rFont val="Courier New"/>
        <family val="0"/>
      </rPr>
      <t xml:space="preserve">, monthly, and </t>
    </r>
  </si>
  <si>
    <r>
      <t>Industrial Production and Capacity Utilization</t>
    </r>
    <r>
      <rPr>
        <sz val="12"/>
        <rFont val="Courier New"/>
        <family val="0"/>
      </rPr>
      <t>, Statistical Release, G. 17, monthly.</t>
    </r>
  </si>
  <si>
    <r>
      <t xml:space="preserve">\9 U.S. Census Bureau, 1900-1959, </t>
    </r>
    <r>
      <rPr>
        <i/>
        <sz val="12"/>
        <rFont val="Courier New"/>
        <family val="3"/>
      </rPr>
      <t>Historical Statistics of the United States, Colonial Times to 1970</t>
    </r>
    <r>
      <rPr>
        <sz val="12"/>
        <rFont val="Courier New"/>
        <family val="0"/>
      </rPr>
      <t xml:space="preserve">; thereafter, 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</si>
</sst>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#,##0.0;[Red]\-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color indexed="12"/>
      <name val="Courier New"/>
      <family val="0"/>
    </font>
    <font>
      <i/>
      <sz val="12"/>
      <name val="Courier New"/>
      <family val="0"/>
    </font>
    <font>
      <b/>
      <sz val="12"/>
      <color indexed="12"/>
      <name val="Courier New"/>
      <family val="0"/>
    </font>
    <font>
      <sz val="12"/>
      <color indexed="8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0" fontId="0" fillId="0" borderId="3" xfId="0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3" xfId="0" applyFont="1" applyAlignment="1">
      <alignment/>
    </xf>
    <xf numFmtId="0" fontId="6" fillId="0" borderId="0" xfId="0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3" xfId="0" applyFont="1" applyAlignment="1">
      <alignment horizontal="right"/>
    </xf>
    <xf numFmtId="0" fontId="0" fillId="0" borderId="3" xfId="0" applyFont="1" applyAlignment="1">
      <alignment horizontal="center"/>
    </xf>
    <xf numFmtId="0" fontId="6" fillId="0" borderId="3" xfId="0" applyFont="1" applyAlignment="1">
      <alignment horizontal="center"/>
    </xf>
    <xf numFmtId="0" fontId="0" fillId="0" borderId="1" xfId="0" applyNumberFormat="1" applyFont="1" applyAlignment="1">
      <alignment/>
    </xf>
    <xf numFmtId="0" fontId="0" fillId="0" borderId="2" xfId="0" applyFont="1" applyAlignment="1">
      <alignment horizontal="right"/>
    </xf>
    <xf numFmtId="0" fontId="0" fillId="0" borderId="1" xfId="0" applyFont="1" applyAlignment="1">
      <alignment horizontal="right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3" xfId="0" applyFont="1" applyFill="1" applyAlignment="1">
      <alignment/>
    </xf>
    <xf numFmtId="165" fontId="0" fillId="0" borderId="3" xfId="0" applyNumberFormat="1" applyFont="1" applyAlignment="1">
      <alignment/>
    </xf>
    <xf numFmtId="0" fontId="4" fillId="0" borderId="3" xfId="0" applyFont="1" applyAlignment="1">
      <alignment/>
    </xf>
    <xf numFmtId="0" fontId="0" fillId="2" borderId="3" xfId="0" applyFont="1" applyFill="1" applyAlignment="1">
      <alignment horizontal="center"/>
    </xf>
    <xf numFmtId="0" fontId="8" fillId="0" borderId="0" xfId="0" applyFont="1" applyAlignment="1">
      <alignment/>
    </xf>
    <xf numFmtId="1" fontId="0" fillId="0" borderId="3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165" fontId="0" fillId="0" borderId="2" xfId="0" applyNumberFormat="1" applyFont="1" applyAlignment="1">
      <alignment horizontal="right"/>
    </xf>
    <xf numFmtId="165" fontId="0" fillId="2" borderId="3" xfId="0" applyNumberFormat="1" applyFont="1" applyFill="1" applyAlignment="1">
      <alignment/>
    </xf>
    <xf numFmtId="165" fontId="0" fillId="0" borderId="3" xfId="0" applyNumberFormat="1" applyFont="1" applyAlignment="1">
      <alignment/>
    </xf>
    <xf numFmtId="165" fontId="0" fillId="0" borderId="3" xfId="0" applyNumberFormat="1" applyFont="1" applyAlignment="1">
      <alignment horizontal="right"/>
    </xf>
    <xf numFmtId="165" fontId="6" fillId="0" borderId="3" xfId="0" applyNumberFormat="1" applyFont="1" applyAlignment="1">
      <alignment/>
    </xf>
    <xf numFmtId="3" fontId="0" fillId="0" borderId="1" xfId="0" applyNumberFormat="1" applyFont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2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3" fontId="0" fillId="2" borderId="3" xfId="0" applyNumberFormat="1" applyFont="1" applyFill="1" applyAlignment="1">
      <alignment horizontal="right"/>
    </xf>
    <xf numFmtId="3" fontId="4" fillId="0" borderId="3" xfId="0" applyNumberFormat="1" applyFont="1" applyAlignment="1">
      <alignment/>
    </xf>
    <xf numFmtId="3" fontId="0" fillId="2" borderId="3" xfId="0" applyNumberFormat="1" applyFont="1" applyFill="1" applyAlignment="1">
      <alignment/>
    </xf>
    <xf numFmtId="3" fontId="6" fillId="0" borderId="3" xfId="0" applyNumberFormat="1" applyFont="1" applyAlignment="1">
      <alignment/>
    </xf>
    <xf numFmtId="3" fontId="7" fillId="2" borderId="3" xfId="0" applyNumberFormat="1" applyFont="1" applyFill="1" applyAlignment="1">
      <alignment/>
    </xf>
    <xf numFmtId="164" fontId="0" fillId="0" borderId="2" xfId="0" applyNumberFormat="1" applyFont="1" applyAlignment="1">
      <alignment horizontal="right"/>
    </xf>
    <xf numFmtId="164" fontId="0" fillId="0" borderId="3" xfId="0" applyNumberFormat="1" applyFont="1" applyAlignment="1">
      <alignment horizontal="right"/>
    </xf>
    <xf numFmtId="164" fontId="0" fillId="2" borderId="3" xfId="0" applyNumberFormat="1" applyFont="1" applyFill="1" applyAlignment="1">
      <alignment horizontal="right"/>
    </xf>
    <xf numFmtId="164" fontId="8" fillId="0" borderId="3" xfId="0" applyNumberFormat="1" applyFont="1" applyAlignment="1">
      <alignment/>
    </xf>
    <xf numFmtId="164" fontId="7" fillId="0" borderId="3" xfId="0" applyNumberFormat="1" applyFont="1" applyAlignment="1">
      <alignment/>
    </xf>
    <xf numFmtId="164" fontId="0" fillId="2" borderId="3" xfId="0" applyNumberFormat="1" applyFont="1" applyFill="1" applyAlignment="1">
      <alignment/>
    </xf>
    <xf numFmtId="164" fontId="7" fillId="2" borderId="3" xfId="0" applyNumberFormat="1" applyFont="1" applyFill="1" applyAlignment="1">
      <alignment/>
    </xf>
    <xf numFmtId="164" fontId="6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64" fontId="5" fillId="0" borderId="3" xfId="0" applyNumberFormat="1" applyFont="1" applyAlignment="1">
      <alignment/>
    </xf>
    <xf numFmtId="164" fontId="7" fillId="0" borderId="2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15" applyNumberFormat="1" applyAlignment="1">
      <alignment/>
    </xf>
    <xf numFmtId="0" fontId="0" fillId="0" borderId="3" xfId="0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index.html" TargetMode="External" /><Relationship Id="rId2" Type="http://schemas.openxmlformats.org/officeDocument/2006/relationships/hyperlink" Target="http://www.census.gov/const/www/newressalesindex.html" TargetMode="External" /><Relationship Id="rId3" Type="http://schemas.openxmlformats.org/officeDocument/2006/relationships/hyperlink" Target="http://www.realtor.org/rodesign.nsf/pages/homepage?opendocument" TargetMode="External" /><Relationship Id="rId4" Type="http://schemas.openxmlformats.org/officeDocument/2006/relationships/hyperlink" Target="http://www.census.gov/ftp/pub/indicator/www/m3/index.htm" TargetMode="External" /><Relationship Id="rId5" Type="http://schemas.openxmlformats.org/officeDocument/2006/relationships/hyperlink" Target="http://www.federalreserve.gov/releases/" TargetMode="External" /><Relationship Id="rId6" Type="http://schemas.openxmlformats.org/officeDocument/2006/relationships/hyperlink" Target="http://www.census.gov/econ/www/retmenu.html" TargetMode="External" /><Relationship Id="rId7" Type="http://schemas.openxmlformats.org/officeDocument/2006/relationships/hyperlink" Target="http://www.census.gov/foreign-trade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0"/>
  <sheetViews>
    <sheetView tabSelected="1" showOutlineSymbols="0" zoomScale="87" zoomScaleNormal="87" workbookViewId="0" topLeftCell="A1">
      <selection activeCell="A2" sqref="A2"/>
    </sheetView>
  </sheetViews>
  <sheetFormatPr defaultColWidth="21" defaultRowHeight="15.75"/>
  <cols>
    <col min="7" max="7" width="10.796875" style="0" customWidth="1"/>
    <col min="11" max="11" width="8.69921875" style="0" customWidth="1"/>
  </cols>
  <sheetData>
    <row r="1" spans="1:31" ht="16.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6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6.5">
      <c r="A3" s="77" t="s">
        <v>172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>
      <c r="A5" s="6"/>
      <c r="B5" s="7"/>
      <c r="C5" s="6"/>
      <c r="D5" s="6"/>
      <c r="E5" s="7"/>
      <c r="F5" s="7"/>
      <c r="G5" s="7"/>
      <c r="H5" s="6"/>
      <c r="I5" s="7"/>
      <c r="J5" s="6"/>
      <c r="K5" s="7"/>
      <c r="L5" s="6"/>
      <c r="M5" s="7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>
      <c r="A6" s="3"/>
      <c r="B6" s="8" t="s">
        <v>0</v>
      </c>
      <c r="C6" s="3"/>
      <c r="D6" s="3"/>
      <c r="E6" s="83"/>
      <c r="F6" s="83"/>
      <c r="G6" s="83"/>
      <c r="H6" s="84"/>
      <c r="I6" s="81"/>
      <c r="J6" s="85"/>
      <c r="K6" s="81"/>
      <c r="L6" s="85"/>
      <c r="M6" s="86"/>
      <c r="N6" s="8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6.5">
      <c r="A7" s="3"/>
      <c r="B7" s="8" t="s">
        <v>1</v>
      </c>
      <c r="C7" s="3"/>
      <c r="D7" s="5" t="s">
        <v>2</v>
      </c>
      <c r="E7" s="78"/>
      <c r="F7" s="78"/>
      <c r="G7" s="78"/>
      <c r="H7" s="78"/>
      <c r="I7" s="78"/>
      <c r="J7" s="79"/>
      <c r="K7" s="80"/>
      <c r="L7" s="81"/>
      <c r="M7" s="81"/>
      <c r="N7" s="8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6.5">
      <c r="A8" s="3"/>
      <c r="B8" s="15"/>
      <c r="C8" s="16"/>
      <c r="D8" s="5" t="s">
        <v>3</v>
      </c>
      <c r="E8" s="17" t="s">
        <v>4</v>
      </c>
      <c r="F8" s="17" t="s">
        <v>5</v>
      </c>
      <c r="G8" s="18"/>
      <c r="H8" s="9"/>
      <c r="I8" s="17" t="s">
        <v>6</v>
      </c>
      <c r="J8" s="5"/>
      <c r="K8" s="19" t="s">
        <v>8</v>
      </c>
      <c r="L8" s="17" t="s">
        <v>9</v>
      </c>
      <c r="M8" s="17" t="s">
        <v>10</v>
      </c>
      <c r="N8" s="5" t="s">
        <v>11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6.5">
      <c r="A9" s="12" t="s">
        <v>12</v>
      </c>
      <c r="B9" s="8"/>
      <c r="C9" s="5" t="s">
        <v>13</v>
      </c>
      <c r="D9" s="5" t="s">
        <v>14</v>
      </c>
      <c r="E9" s="17" t="s">
        <v>15</v>
      </c>
      <c r="F9" s="17" t="s">
        <v>16</v>
      </c>
      <c r="G9" s="19" t="s">
        <v>8</v>
      </c>
      <c r="H9" s="17" t="s">
        <v>7</v>
      </c>
      <c r="I9" s="17" t="s">
        <v>17</v>
      </c>
      <c r="J9" s="5" t="s">
        <v>18</v>
      </c>
      <c r="K9" s="19" t="s">
        <v>9</v>
      </c>
      <c r="L9" s="17" t="s">
        <v>19</v>
      </c>
      <c r="M9" s="17" t="s">
        <v>20</v>
      </c>
      <c r="N9" s="5" t="s">
        <v>21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6.5">
      <c r="A10" s="3"/>
      <c r="B10" s="17" t="s">
        <v>22</v>
      </c>
      <c r="C10" s="5" t="s">
        <v>23</v>
      </c>
      <c r="D10" s="5" t="s">
        <v>24</v>
      </c>
      <c r="E10" s="17" t="s">
        <v>25</v>
      </c>
      <c r="F10" s="17" t="s">
        <v>26</v>
      </c>
      <c r="G10" s="19" t="s">
        <v>27</v>
      </c>
      <c r="H10" s="17" t="s">
        <v>28</v>
      </c>
      <c r="I10" s="17" t="s">
        <v>29</v>
      </c>
      <c r="J10" s="5" t="s">
        <v>30</v>
      </c>
      <c r="K10" s="19" t="s">
        <v>31</v>
      </c>
      <c r="L10" s="89" t="s">
        <v>183</v>
      </c>
      <c r="M10" s="17" t="s">
        <v>32</v>
      </c>
      <c r="N10" s="5" t="s">
        <v>33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6.5">
      <c r="A11" s="3"/>
      <c r="B11" s="8"/>
      <c r="C11" s="3"/>
      <c r="D11" s="3"/>
      <c r="E11" s="89" t="s">
        <v>182</v>
      </c>
      <c r="F11" s="17" t="s">
        <v>34</v>
      </c>
      <c r="G11" s="18"/>
      <c r="H11" s="8"/>
      <c r="I11" s="11"/>
      <c r="J11" s="2"/>
      <c r="K11" s="19"/>
      <c r="L11" s="8"/>
      <c r="M11" s="89" t="s">
        <v>184</v>
      </c>
      <c r="N11" s="90" t="s">
        <v>184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.75">
      <c r="A12" s="5" t="s">
        <v>35</v>
      </c>
      <c r="B12" s="5" t="s">
        <v>36</v>
      </c>
      <c r="C12" s="5" t="s">
        <v>37</v>
      </c>
      <c r="D12" s="5" t="s">
        <v>38</v>
      </c>
      <c r="E12" s="17" t="s">
        <v>38</v>
      </c>
      <c r="F12" s="17" t="s">
        <v>38</v>
      </c>
      <c r="G12" s="8"/>
      <c r="H12" s="17" t="s">
        <v>36</v>
      </c>
      <c r="I12" s="17" t="s">
        <v>39</v>
      </c>
      <c r="J12" s="5" t="s">
        <v>39</v>
      </c>
      <c r="K12" s="8"/>
      <c r="L12" s="17" t="s">
        <v>36</v>
      </c>
      <c r="M12" s="5" t="s">
        <v>36</v>
      </c>
      <c r="N12" s="5" t="s">
        <v>36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3"/>
      <c r="B13" s="8"/>
      <c r="C13" s="3"/>
      <c r="D13" s="3"/>
      <c r="E13" s="8"/>
      <c r="F13" s="8"/>
      <c r="G13" s="8"/>
      <c r="H13" s="8"/>
      <c r="I13" s="8"/>
      <c r="J13" s="3"/>
      <c r="K13" s="8"/>
      <c r="L13" s="8"/>
      <c r="M13" s="8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6.5">
      <c r="A14" s="20" t="s">
        <v>40</v>
      </c>
      <c r="B14" s="44" t="s">
        <v>41</v>
      </c>
      <c r="C14" s="49" t="s">
        <v>41</v>
      </c>
      <c r="D14" s="23">
        <v>189</v>
      </c>
      <c r="E14" s="21" t="s">
        <v>41</v>
      </c>
      <c r="F14" s="54" t="s">
        <v>41</v>
      </c>
      <c r="G14" s="24"/>
      <c r="H14" s="54" t="s">
        <v>41</v>
      </c>
      <c r="I14" s="61" t="s">
        <v>41</v>
      </c>
      <c r="J14" s="22" t="s">
        <v>41</v>
      </c>
      <c r="K14" s="25"/>
      <c r="L14" s="61" t="s">
        <v>41</v>
      </c>
      <c r="M14" s="71">
        <f>1394/1000</f>
        <v>1.394</v>
      </c>
      <c r="N14" s="26">
        <f>850/1000</f>
        <v>0.85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6.5">
      <c r="A15" s="2" t="s">
        <v>42</v>
      </c>
      <c r="B15" s="36">
        <f>120/1000</f>
        <v>0.12</v>
      </c>
      <c r="C15" s="43" t="s">
        <v>41</v>
      </c>
      <c r="D15" s="4">
        <v>275</v>
      </c>
      <c r="E15" s="17" t="s">
        <v>41</v>
      </c>
      <c r="F15" s="55" t="s">
        <v>41</v>
      </c>
      <c r="G15" s="28"/>
      <c r="H15" s="55" t="s">
        <v>41</v>
      </c>
      <c r="I15" s="62" t="s">
        <v>41</v>
      </c>
      <c r="J15" s="5" t="s">
        <v>41</v>
      </c>
      <c r="K15" s="11"/>
      <c r="L15" s="62" t="s">
        <v>41</v>
      </c>
      <c r="M15" s="27">
        <f>1488/1000</f>
        <v>1.488</v>
      </c>
      <c r="N15" s="72">
        <f>823/1000</f>
        <v>0.823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.75">
      <c r="A16" s="2" t="s">
        <v>43</v>
      </c>
      <c r="B16" s="36">
        <f>119/1000</f>
        <v>0.119</v>
      </c>
      <c r="C16" s="43" t="s">
        <v>41</v>
      </c>
      <c r="D16" s="4">
        <v>240</v>
      </c>
      <c r="E16" s="17" t="s">
        <v>41</v>
      </c>
      <c r="F16" s="55" t="s">
        <v>41</v>
      </c>
      <c r="G16" s="28"/>
      <c r="H16" s="55" t="s">
        <v>41</v>
      </c>
      <c r="I16" s="62" t="s">
        <v>41</v>
      </c>
      <c r="J16" s="5" t="s">
        <v>41</v>
      </c>
      <c r="K16" s="11"/>
      <c r="L16" s="62" t="s">
        <v>41</v>
      </c>
      <c r="M16" s="27">
        <f>1382/1000</f>
        <v>1.382</v>
      </c>
      <c r="N16" s="31">
        <f>903/1000</f>
        <v>0.903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>
      <c r="A17" s="2" t="s">
        <v>44</v>
      </c>
      <c r="B17" s="36">
        <f>104/1000</f>
        <v>0.104</v>
      </c>
      <c r="C17" s="43" t="s">
        <v>41</v>
      </c>
      <c r="D17" s="4">
        <v>253</v>
      </c>
      <c r="E17" s="17" t="s">
        <v>41</v>
      </c>
      <c r="F17" s="55" t="s">
        <v>41</v>
      </c>
      <c r="G17" s="28"/>
      <c r="H17" s="55" t="s">
        <v>41</v>
      </c>
      <c r="I17" s="62" t="s">
        <v>41</v>
      </c>
      <c r="J17" s="5" t="s">
        <v>41</v>
      </c>
      <c r="K17" s="11"/>
      <c r="L17" s="62" t="s">
        <v>41</v>
      </c>
      <c r="M17" s="27">
        <f>1420/1000</f>
        <v>1.42</v>
      </c>
      <c r="N17" s="31">
        <f>1026/1000</f>
        <v>1.026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>
      <c r="A18" s="2" t="s">
        <v>45</v>
      </c>
      <c r="B18" s="36">
        <f>97/1000</f>
        <v>0.097</v>
      </c>
      <c r="C18" s="43" t="s">
        <v>41</v>
      </c>
      <c r="D18" s="4">
        <v>315</v>
      </c>
      <c r="E18" s="17" t="s">
        <v>41</v>
      </c>
      <c r="F18" s="55" t="s">
        <v>41</v>
      </c>
      <c r="G18" s="28"/>
      <c r="H18" s="55" t="s">
        <v>41</v>
      </c>
      <c r="I18" s="62" t="s">
        <v>41</v>
      </c>
      <c r="J18" s="5" t="s">
        <v>41</v>
      </c>
      <c r="K18" s="11"/>
      <c r="L18" s="62" t="s">
        <v>41</v>
      </c>
      <c r="M18" s="27">
        <f>1461/1000</f>
        <v>1.461</v>
      </c>
      <c r="N18" s="31">
        <f>991/1000</f>
        <v>0.991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>
      <c r="A19" s="2" t="s">
        <v>46</v>
      </c>
      <c r="B19" s="36">
        <f>107/1000</f>
        <v>0.107</v>
      </c>
      <c r="C19" s="43" t="s">
        <v>41</v>
      </c>
      <c r="D19" s="4">
        <v>507</v>
      </c>
      <c r="E19" s="17" t="s">
        <v>41</v>
      </c>
      <c r="F19" s="55" t="s">
        <v>41</v>
      </c>
      <c r="G19" s="28"/>
      <c r="H19" s="55" t="s">
        <v>41</v>
      </c>
      <c r="I19" s="62" t="s">
        <v>41</v>
      </c>
      <c r="J19" s="5" t="s">
        <v>41</v>
      </c>
      <c r="K19" s="11"/>
      <c r="L19" s="62" t="s">
        <v>41</v>
      </c>
      <c r="M19" s="27">
        <f>1519/1000</f>
        <v>1.519</v>
      </c>
      <c r="N19" s="31">
        <f>1118/1000</f>
        <v>1.118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>
      <c r="A20" s="2" t="s">
        <v>47</v>
      </c>
      <c r="B20" s="36">
        <f>125/1000</f>
        <v>0.125</v>
      </c>
      <c r="C20" s="43" t="s">
        <v>41</v>
      </c>
      <c r="D20" s="4">
        <v>487</v>
      </c>
      <c r="E20" s="17" t="s">
        <v>41</v>
      </c>
      <c r="F20" s="55" t="s">
        <v>41</v>
      </c>
      <c r="G20" s="28"/>
      <c r="H20" s="55" t="s">
        <v>41</v>
      </c>
      <c r="I20" s="62" t="s">
        <v>41</v>
      </c>
      <c r="J20" s="5" t="s">
        <v>41</v>
      </c>
      <c r="K20" s="11"/>
      <c r="L20" s="62" t="s">
        <v>41</v>
      </c>
      <c r="M20" s="27">
        <f>1744/1000</f>
        <v>1.744</v>
      </c>
      <c r="N20" s="31">
        <f>1227/1000</f>
        <v>1.227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>
      <c r="A21" s="2" t="s">
        <v>48</v>
      </c>
      <c r="B21" s="36">
        <f>129/1000</f>
        <v>0.129</v>
      </c>
      <c r="C21" s="43" t="s">
        <v>41</v>
      </c>
      <c r="D21" s="4">
        <v>432</v>
      </c>
      <c r="E21" s="17" t="s">
        <v>41</v>
      </c>
      <c r="F21" s="55" t="s">
        <v>41</v>
      </c>
      <c r="G21" s="28"/>
      <c r="H21" s="55" t="s">
        <v>41</v>
      </c>
      <c r="I21" s="62" t="s">
        <v>41</v>
      </c>
      <c r="J21" s="5" t="s">
        <v>41</v>
      </c>
      <c r="K21" s="11"/>
      <c r="L21" s="62" t="s">
        <v>41</v>
      </c>
      <c r="M21" s="27">
        <f>1881/1000</f>
        <v>1.881</v>
      </c>
      <c r="N21" s="31">
        <f>1434/1000</f>
        <v>1.434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>
      <c r="A22" s="2" t="s">
        <v>49</v>
      </c>
      <c r="B22" s="36">
        <f>112/1000</f>
        <v>0.112</v>
      </c>
      <c r="C22" s="43" t="s">
        <v>41</v>
      </c>
      <c r="D22" s="4">
        <v>416</v>
      </c>
      <c r="E22" s="17" t="s">
        <v>41</v>
      </c>
      <c r="F22" s="55" t="s">
        <v>41</v>
      </c>
      <c r="G22" s="28"/>
      <c r="H22" s="55" t="s">
        <v>41</v>
      </c>
      <c r="I22" s="62" t="s">
        <v>41</v>
      </c>
      <c r="J22" s="5" t="s">
        <v>41</v>
      </c>
      <c r="K22" s="11"/>
      <c r="L22" s="62" t="s">
        <v>41</v>
      </c>
      <c r="M22" s="27">
        <f>1861/1000</f>
        <v>1.861</v>
      </c>
      <c r="N22" s="31">
        <f>1194/1000</f>
        <v>1.194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>
      <c r="A23" s="2" t="s">
        <v>50</v>
      </c>
      <c r="B23" s="36">
        <f>166/1000</f>
        <v>0.166</v>
      </c>
      <c r="C23" s="43" t="s">
        <v>41</v>
      </c>
      <c r="D23" s="4">
        <v>492</v>
      </c>
      <c r="E23" s="17" t="s">
        <v>41</v>
      </c>
      <c r="F23" s="55" t="s">
        <v>41</v>
      </c>
      <c r="G23" s="28"/>
      <c r="H23" s="55" t="s">
        <v>41</v>
      </c>
      <c r="I23" s="62" t="s">
        <v>41</v>
      </c>
      <c r="J23" s="5" t="s">
        <v>41</v>
      </c>
      <c r="K23" s="11"/>
      <c r="L23" s="62" t="s">
        <v>41</v>
      </c>
      <c r="M23" s="27">
        <f>1663/1000</f>
        <v>1.663</v>
      </c>
      <c r="N23" s="31">
        <f>1312/1000</f>
        <v>1.312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>
      <c r="A24" s="32" t="s">
        <v>51</v>
      </c>
      <c r="B24" s="45">
        <f>859/1000</f>
        <v>0.859</v>
      </c>
      <c r="C24" s="50" t="s">
        <v>41</v>
      </c>
      <c r="D24" s="51">
        <v>387</v>
      </c>
      <c r="E24" s="33" t="s">
        <v>41</v>
      </c>
      <c r="F24" s="56" t="s">
        <v>41</v>
      </c>
      <c r="G24" s="35"/>
      <c r="H24" s="56" t="s">
        <v>41</v>
      </c>
      <c r="I24" s="63" t="s">
        <v>41</v>
      </c>
      <c r="J24" s="34" t="s">
        <v>41</v>
      </c>
      <c r="K24" s="35"/>
      <c r="L24" s="63" t="s">
        <v>41</v>
      </c>
      <c r="M24" s="66">
        <f>1745/1000</f>
        <v>1.745</v>
      </c>
      <c r="N24" s="73">
        <f>1557/1000</f>
        <v>1.557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>
      <c r="A25" s="2" t="s">
        <v>52</v>
      </c>
      <c r="B25" s="36">
        <f>828/1000</f>
        <v>0.828</v>
      </c>
      <c r="C25" s="43" t="s">
        <v>41</v>
      </c>
      <c r="D25" s="4">
        <v>395</v>
      </c>
      <c r="E25" s="17" t="s">
        <v>41</v>
      </c>
      <c r="F25" s="55" t="s">
        <v>41</v>
      </c>
      <c r="G25" s="28"/>
      <c r="H25" s="55" t="s">
        <v>41</v>
      </c>
      <c r="I25" s="62" t="s">
        <v>41</v>
      </c>
      <c r="J25" s="5" t="s">
        <v>41</v>
      </c>
      <c r="K25" s="11"/>
      <c r="L25" s="62" t="s">
        <v>41</v>
      </c>
      <c r="M25" s="27">
        <f>2049/1000</f>
        <v>2.049</v>
      </c>
      <c r="N25" s="31">
        <f>1527/1000</f>
        <v>1.527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>
      <c r="A26" s="2" t="s">
        <v>53</v>
      </c>
      <c r="B26" s="36">
        <f>923/1000</f>
        <v>0.923</v>
      </c>
      <c r="C26" s="43" t="s">
        <v>41</v>
      </c>
      <c r="D26" s="4">
        <v>426</v>
      </c>
      <c r="E26" s="17" t="s">
        <v>41</v>
      </c>
      <c r="F26" s="55" t="s">
        <v>41</v>
      </c>
      <c r="G26" s="28"/>
      <c r="H26" s="55" t="s">
        <v>41</v>
      </c>
      <c r="I26" s="62" t="s">
        <v>41</v>
      </c>
      <c r="J26" s="5" t="s">
        <v>41</v>
      </c>
      <c r="K26" s="11"/>
      <c r="L26" s="62" t="s">
        <v>41</v>
      </c>
      <c r="M26" s="27">
        <f>2204/1000</f>
        <v>2.204</v>
      </c>
      <c r="N26" s="31">
        <f>1653/1000</f>
        <v>1.653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>
      <c r="A27" s="2" t="s">
        <v>54</v>
      </c>
      <c r="B27" s="36">
        <f>917/1000</f>
        <v>0.917</v>
      </c>
      <c r="C27" s="43" t="s">
        <v>41</v>
      </c>
      <c r="D27" s="4">
        <v>421</v>
      </c>
      <c r="E27" s="17" t="s">
        <v>41</v>
      </c>
      <c r="F27" s="55" t="s">
        <v>41</v>
      </c>
      <c r="G27" s="28"/>
      <c r="H27" s="55" t="s">
        <v>41</v>
      </c>
      <c r="I27" s="62" t="s">
        <v>41</v>
      </c>
      <c r="J27" s="5" t="s">
        <v>41</v>
      </c>
      <c r="K27" s="11"/>
      <c r="L27" s="62" t="s">
        <v>41</v>
      </c>
      <c r="M27" s="27">
        <f>2466/1000</f>
        <v>2.466</v>
      </c>
      <c r="N27" s="31">
        <f>1813/1000</f>
        <v>1.813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>
      <c r="A28" s="2" t="s">
        <v>55</v>
      </c>
      <c r="B28" s="46">
        <f>775/1000</f>
        <v>0.775</v>
      </c>
      <c r="C28" s="43" t="s">
        <v>41</v>
      </c>
      <c r="D28" s="4">
        <v>421</v>
      </c>
      <c r="E28" s="17" t="s">
        <v>41</v>
      </c>
      <c r="F28" s="55" t="s">
        <v>41</v>
      </c>
      <c r="G28" s="28"/>
      <c r="H28" s="55" t="s">
        <v>41</v>
      </c>
      <c r="I28" s="62" t="s">
        <v>41</v>
      </c>
      <c r="J28" s="5" t="s">
        <v>41</v>
      </c>
      <c r="K28" s="11"/>
      <c r="L28" s="62" t="s">
        <v>41</v>
      </c>
      <c r="M28" s="27">
        <f>2365/1000</f>
        <v>2.365</v>
      </c>
      <c r="N28" s="31">
        <f>1894/1000</f>
        <v>1.894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>
      <c r="A29" s="2" t="s">
        <v>56</v>
      </c>
      <c r="B29" s="36">
        <f>978/1000</f>
        <v>0.978</v>
      </c>
      <c r="C29" s="43" t="s">
        <v>41</v>
      </c>
      <c r="D29" s="4">
        <v>433</v>
      </c>
      <c r="E29" s="17" t="s">
        <v>41</v>
      </c>
      <c r="F29" s="55" t="s">
        <v>41</v>
      </c>
      <c r="G29" s="28"/>
      <c r="H29" s="55" t="s">
        <v>41</v>
      </c>
      <c r="I29" s="62" t="s">
        <v>41</v>
      </c>
      <c r="J29" s="5" t="s">
        <v>41</v>
      </c>
      <c r="K29" s="11"/>
      <c r="L29" s="62" t="s">
        <v>41</v>
      </c>
      <c r="M29" s="27">
        <f>2769/1000</f>
        <v>2.769</v>
      </c>
      <c r="N29" s="31">
        <f>1674/1000</f>
        <v>1.674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>
      <c r="A30" s="2" t="s">
        <v>57</v>
      </c>
      <c r="B30" s="36">
        <f>1413/1000</f>
        <v>1.413</v>
      </c>
      <c r="C30" s="43" t="s">
        <v>41</v>
      </c>
      <c r="D30" s="4">
        <v>437</v>
      </c>
      <c r="E30" s="17" t="s">
        <v>41</v>
      </c>
      <c r="F30" s="55" t="s">
        <v>41</v>
      </c>
      <c r="G30" s="28"/>
      <c r="H30" s="55" t="s">
        <v>41</v>
      </c>
      <c r="I30" s="62" t="s">
        <v>41</v>
      </c>
      <c r="J30" s="5" t="s">
        <v>41</v>
      </c>
      <c r="K30" s="11"/>
      <c r="L30" s="62" t="s">
        <v>41</v>
      </c>
      <c r="M30" s="27">
        <f>5483/1000</f>
        <v>5.483</v>
      </c>
      <c r="N30" s="31">
        <f>2392/1000</f>
        <v>2.392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>
      <c r="A31" s="2" t="s">
        <v>58</v>
      </c>
      <c r="B31" s="36">
        <f>1691/1000</f>
        <v>1.691</v>
      </c>
      <c r="C31" s="43" t="s">
        <v>41</v>
      </c>
      <c r="D31" s="4">
        <v>240</v>
      </c>
      <c r="E31" s="17" t="s">
        <v>41</v>
      </c>
      <c r="F31" s="55" t="s">
        <v>41</v>
      </c>
      <c r="G31" s="28"/>
      <c r="H31" s="55" t="s">
        <v>41</v>
      </c>
      <c r="I31" s="62" t="s">
        <v>41</v>
      </c>
      <c r="J31" s="5" t="s">
        <v>41</v>
      </c>
      <c r="K31" s="11"/>
      <c r="L31" s="62" t="s">
        <v>41</v>
      </c>
      <c r="M31" s="27">
        <f>6234/1000</f>
        <v>6.234</v>
      </c>
      <c r="N31" s="31">
        <f>2952/1000</f>
        <v>2.952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>
      <c r="A32" s="2" t="s">
        <v>59</v>
      </c>
      <c r="B32" s="36">
        <f>1767/1000</f>
        <v>1.767</v>
      </c>
      <c r="C32" s="43" t="s">
        <v>41</v>
      </c>
      <c r="D32" s="4">
        <v>118</v>
      </c>
      <c r="E32" s="17" t="s">
        <v>41</v>
      </c>
      <c r="F32" s="55" t="s">
        <v>41</v>
      </c>
      <c r="G32" s="28"/>
      <c r="H32" s="55" t="s">
        <v>41</v>
      </c>
      <c r="I32" s="62" t="s">
        <v>41</v>
      </c>
      <c r="J32" s="5" t="s">
        <v>41</v>
      </c>
      <c r="K32" s="11"/>
      <c r="L32" s="62" t="s">
        <v>41</v>
      </c>
      <c r="M32" s="27">
        <f>6149/1000</f>
        <v>6.149</v>
      </c>
      <c r="N32" s="31">
        <f>3031/1000</f>
        <v>3.031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>
      <c r="A33" s="2" t="s">
        <v>60</v>
      </c>
      <c r="B33" s="36">
        <f>2580/1000</f>
        <v>2.58</v>
      </c>
      <c r="C33" s="4">
        <v>557</v>
      </c>
      <c r="D33" s="4">
        <v>315</v>
      </c>
      <c r="E33" s="17" t="s">
        <v>41</v>
      </c>
      <c r="F33" s="55" t="s">
        <v>41</v>
      </c>
      <c r="G33" s="28"/>
      <c r="H33" s="55" t="s">
        <v>41</v>
      </c>
      <c r="I33" s="62" t="s">
        <v>41</v>
      </c>
      <c r="J33" s="5" t="s">
        <v>41</v>
      </c>
      <c r="K33" s="11"/>
      <c r="L33" s="62" t="s">
        <v>41</v>
      </c>
      <c r="M33" s="27">
        <f>7920/1000</f>
        <v>7.92</v>
      </c>
      <c r="N33" s="31">
        <f>3904/1000</f>
        <v>3.904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>
      <c r="A34" s="32" t="s">
        <v>61</v>
      </c>
      <c r="B34" s="45">
        <f>2564/1000</f>
        <v>2.564</v>
      </c>
      <c r="C34" s="51">
        <v>402</v>
      </c>
      <c r="D34" s="51">
        <v>247</v>
      </c>
      <c r="E34" s="33" t="s">
        <v>41</v>
      </c>
      <c r="F34" s="56" t="s">
        <v>41</v>
      </c>
      <c r="G34" s="35"/>
      <c r="H34" s="56" t="s">
        <v>41</v>
      </c>
      <c r="I34" s="63" t="s">
        <v>41</v>
      </c>
      <c r="J34" s="34" t="s">
        <v>41</v>
      </c>
      <c r="K34" s="35"/>
      <c r="L34" s="63" t="s">
        <v>41</v>
      </c>
      <c r="M34" s="66">
        <f>8228/1000</f>
        <v>8.228</v>
      </c>
      <c r="N34" s="73">
        <f>5278/1000</f>
        <v>5.278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>
      <c r="A35" s="2" t="s">
        <v>62</v>
      </c>
      <c r="B35" s="36">
        <f>2355/1000</f>
        <v>2.355</v>
      </c>
      <c r="C35" s="4">
        <v>385</v>
      </c>
      <c r="D35" s="4">
        <v>449</v>
      </c>
      <c r="E35" s="17" t="s">
        <v>41</v>
      </c>
      <c r="F35" s="55" t="s">
        <v>41</v>
      </c>
      <c r="G35" s="28"/>
      <c r="H35" s="55" t="s">
        <v>41</v>
      </c>
      <c r="I35" s="62" t="s">
        <v>41</v>
      </c>
      <c r="J35" s="5" t="s">
        <v>41</v>
      </c>
      <c r="K35" s="11"/>
      <c r="L35" s="62" t="s">
        <v>41</v>
      </c>
      <c r="M35" s="27">
        <f>4485/1000</f>
        <v>4.485</v>
      </c>
      <c r="N35" s="31">
        <f>2509/1000</f>
        <v>2.509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>
      <c r="A36" s="2" t="s">
        <v>63</v>
      </c>
      <c r="B36" s="36">
        <f>3344/1000</f>
        <v>3.344</v>
      </c>
      <c r="C36" s="4">
        <v>570</v>
      </c>
      <c r="D36" s="4">
        <v>716</v>
      </c>
      <c r="E36" s="17" t="s">
        <v>41</v>
      </c>
      <c r="F36" s="55" t="s">
        <v>41</v>
      </c>
      <c r="G36" s="28"/>
      <c r="H36" s="55" t="s">
        <v>41</v>
      </c>
      <c r="I36" s="62" t="s">
        <v>41</v>
      </c>
      <c r="J36" s="5" t="s">
        <v>41</v>
      </c>
      <c r="K36" s="11"/>
      <c r="L36" s="62" t="s">
        <v>41</v>
      </c>
      <c r="M36" s="27">
        <f>3832/1000</f>
        <v>3.832</v>
      </c>
      <c r="N36" s="31">
        <f>3113/1000</f>
        <v>3.113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>
      <c r="A37" s="2" t="s">
        <v>64</v>
      </c>
      <c r="B37" s="36">
        <f>3992/1000</f>
        <v>3.992</v>
      </c>
      <c r="C37" s="4">
        <v>674</v>
      </c>
      <c r="D37" s="4">
        <v>871</v>
      </c>
      <c r="E37" s="17" t="s">
        <v>41</v>
      </c>
      <c r="F37" s="55" t="s">
        <v>41</v>
      </c>
      <c r="G37" s="28"/>
      <c r="H37" s="55" t="s">
        <v>41</v>
      </c>
      <c r="I37" s="62" t="s">
        <v>41</v>
      </c>
      <c r="J37" s="5" t="s">
        <v>41</v>
      </c>
      <c r="K37" s="11"/>
      <c r="L37" s="62" t="s">
        <v>41</v>
      </c>
      <c r="M37" s="27">
        <f>4167/1000</f>
        <v>4.167</v>
      </c>
      <c r="N37" s="31">
        <f>3792/1000</f>
        <v>3.792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>
      <c r="A38" s="2" t="s">
        <v>65</v>
      </c>
      <c r="B38" s="36">
        <f>4479/1000</f>
        <v>4.479</v>
      </c>
      <c r="C38" s="4">
        <v>695</v>
      </c>
      <c r="D38" s="4">
        <v>893</v>
      </c>
      <c r="E38" s="17" t="s">
        <v>41</v>
      </c>
      <c r="F38" s="55" t="s">
        <v>41</v>
      </c>
      <c r="G38" s="28"/>
      <c r="H38" s="55" t="s">
        <v>41</v>
      </c>
      <c r="I38" s="62" t="s">
        <v>41</v>
      </c>
      <c r="J38" s="5" t="s">
        <v>41</v>
      </c>
      <c r="K38" s="11"/>
      <c r="L38" s="62" t="s">
        <v>41</v>
      </c>
      <c r="M38" s="27">
        <f>4591/1000</f>
        <v>4.591</v>
      </c>
      <c r="N38" s="31">
        <f>3610/1000</f>
        <v>3.61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>
      <c r="A39" s="2" t="s">
        <v>66</v>
      </c>
      <c r="B39" s="36">
        <f>6006/1000</f>
        <v>6.006</v>
      </c>
      <c r="C39" s="4">
        <v>936</v>
      </c>
      <c r="D39" s="4">
        <v>937</v>
      </c>
      <c r="E39" s="17" t="s">
        <v>41</v>
      </c>
      <c r="F39" s="55" t="s">
        <v>41</v>
      </c>
      <c r="G39" s="28"/>
      <c r="H39" s="55" t="s">
        <v>41</v>
      </c>
      <c r="I39" s="62" t="s">
        <v>41</v>
      </c>
      <c r="J39" s="5" t="s">
        <v>41</v>
      </c>
      <c r="K39" s="11"/>
      <c r="L39" s="62" t="s">
        <v>41</v>
      </c>
      <c r="M39" s="27">
        <f>4910/1000</f>
        <v>4.91</v>
      </c>
      <c r="N39" s="31">
        <f>4227/1000</f>
        <v>4.227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>
      <c r="A40" s="2" t="s">
        <v>67</v>
      </c>
      <c r="B40" s="36">
        <f>6381/1000</f>
        <v>6.381</v>
      </c>
      <c r="C40" s="4">
        <v>884</v>
      </c>
      <c r="D40" s="4">
        <v>849</v>
      </c>
      <c r="E40" s="17" t="s">
        <v>41</v>
      </c>
      <c r="F40" s="55" t="s">
        <v>41</v>
      </c>
      <c r="G40" s="28"/>
      <c r="H40" s="55" t="s">
        <v>41</v>
      </c>
      <c r="I40" s="62" t="s">
        <v>41</v>
      </c>
      <c r="J40" s="5" t="s">
        <v>41</v>
      </c>
      <c r="K40" s="11"/>
      <c r="L40" s="62" t="s">
        <v>41</v>
      </c>
      <c r="M40" s="27">
        <f>4809/1000</f>
        <v>4.809</v>
      </c>
      <c r="N40" s="31">
        <f>4431/1000</f>
        <v>4.431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>
      <c r="A41" s="2" t="s">
        <v>68</v>
      </c>
      <c r="B41" s="36">
        <f>6303/1000</f>
        <v>6.303</v>
      </c>
      <c r="C41" s="4">
        <v>851</v>
      </c>
      <c r="D41" s="4">
        <v>810</v>
      </c>
      <c r="E41" s="17" t="s">
        <v>41</v>
      </c>
      <c r="F41" s="55" t="s">
        <v>41</v>
      </c>
      <c r="G41" s="28"/>
      <c r="H41" s="55" t="s">
        <v>41</v>
      </c>
      <c r="I41" s="62" t="s">
        <v>41</v>
      </c>
      <c r="J41" s="5" t="s">
        <v>41</v>
      </c>
      <c r="K41" s="11"/>
      <c r="L41" s="62" t="s">
        <v>41</v>
      </c>
      <c r="M41" s="27">
        <f>4865/1000</f>
        <v>4.865</v>
      </c>
      <c r="N41" s="31">
        <f>4185/1000</f>
        <v>4.185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>
      <c r="A42" s="2" t="s">
        <v>69</v>
      </c>
      <c r="B42" s="36">
        <f>6628/1000</f>
        <v>6.628</v>
      </c>
      <c r="C42" s="4">
        <v>967</v>
      </c>
      <c r="D42" s="4">
        <v>753</v>
      </c>
      <c r="E42" s="17" t="s">
        <v>41</v>
      </c>
      <c r="F42" s="55" t="s">
        <v>41</v>
      </c>
      <c r="G42" s="28"/>
      <c r="H42" s="55" t="s">
        <v>41</v>
      </c>
      <c r="I42" s="62" t="s">
        <v>41</v>
      </c>
      <c r="J42" s="5" t="s">
        <v>41</v>
      </c>
      <c r="K42" s="11"/>
      <c r="L42" s="62" t="s">
        <v>41</v>
      </c>
      <c r="M42" s="27">
        <f>5128/1000</f>
        <v>5.128</v>
      </c>
      <c r="N42" s="31">
        <f>4091/1000</f>
        <v>4.091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>
      <c r="A43" s="2" t="s">
        <v>70</v>
      </c>
      <c r="B43" s="36">
        <f>5751/1000</f>
        <v>5.751</v>
      </c>
      <c r="C43" s="4">
        <v>791</v>
      </c>
      <c r="D43" s="4">
        <v>509</v>
      </c>
      <c r="E43" s="17" t="s">
        <v>41</v>
      </c>
      <c r="F43" s="55" t="s">
        <v>41</v>
      </c>
      <c r="G43" s="28"/>
      <c r="H43" s="55" t="s">
        <v>41</v>
      </c>
      <c r="I43" s="62" t="s">
        <v>41</v>
      </c>
      <c r="J43" s="5" t="s">
        <v>41</v>
      </c>
      <c r="K43" s="11"/>
      <c r="L43" s="27">
        <f>48459/1000</f>
        <v>48.459</v>
      </c>
      <c r="M43" s="27">
        <f>5241/1000</f>
        <v>5.241</v>
      </c>
      <c r="N43" s="31">
        <f>4399/1000</f>
        <v>4.399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>
      <c r="A44" s="32" t="s">
        <v>71</v>
      </c>
      <c r="B44" s="45">
        <f>4523/1000</f>
        <v>4.523</v>
      </c>
      <c r="C44" s="51">
        <v>510</v>
      </c>
      <c r="D44" s="51">
        <v>330</v>
      </c>
      <c r="E44" s="33" t="s">
        <v>41</v>
      </c>
      <c r="F44" s="56" t="s">
        <v>41</v>
      </c>
      <c r="G44" s="35"/>
      <c r="H44" s="56" t="s">
        <v>41</v>
      </c>
      <c r="I44" s="63" t="s">
        <v>41</v>
      </c>
      <c r="J44" s="34" t="s">
        <v>41</v>
      </c>
      <c r="K44" s="35"/>
      <c r="L44" s="63" t="s">
        <v>41</v>
      </c>
      <c r="M44" s="66">
        <f>3843/1000</f>
        <v>3.843</v>
      </c>
      <c r="N44" s="73">
        <f>3061/1000</f>
        <v>3.061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>
      <c r="A45" s="2" t="s">
        <v>72</v>
      </c>
      <c r="B45" s="36">
        <f>3093/1000</f>
        <v>3.093</v>
      </c>
      <c r="C45" s="4">
        <v>366</v>
      </c>
      <c r="D45" s="4">
        <v>254</v>
      </c>
      <c r="E45" s="17" t="s">
        <v>41</v>
      </c>
      <c r="F45" s="55" t="s">
        <v>41</v>
      </c>
      <c r="G45" s="28"/>
      <c r="H45" s="55" t="s">
        <v>41</v>
      </c>
      <c r="I45" s="62" t="s">
        <v>41</v>
      </c>
      <c r="J45" s="5" t="s">
        <v>41</v>
      </c>
      <c r="K45" s="11"/>
      <c r="L45" s="62" t="s">
        <v>41</v>
      </c>
      <c r="M45" s="27">
        <f>2424/1000</f>
        <v>2.424</v>
      </c>
      <c r="N45" s="31">
        <f>2091/1000</f>
        <v>2.091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>
      <c r="A46" s="2" t="s">
        <v>73</v>
      </c>
      <c r="B46" s="36">
        <f>1351/1000</f>
        <v>1.351</v>
      </c>
      <c r="C46" s="4">
        <v>156</v>
      </c>
      <c r="D46" s="4">
        <v>134</v>
      </c>
      <c r="E46" s="17" t="s">
        <v>41</v>
      </c>
      <c r="F46" s="55" t="s">
        <v>41</v>
      </c>
      <c r="G46" s="28"/>
      <c r="H46" s="55" t="s">
        <v>41</v>
      </c>
      <c r="I46" s="62" t="s">
        <v>41</v>
      </c>
      <c r="J46" s="5" t="s">
        <v>41</v>
      </c>
      <c r="K46" s="11"/>
      <c r="L46" s="62" t="s">
        <v>41</v>
      </c>
      <c r="M46" s="27">
        <f>1611/1000</f>
        <v>1.611</v>
      </c>
      <c r="N46" s="31">
        <f>1323/1000</f>
        <v>1.323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6.5">
      <c r="A47" s="2" t="s">
        <v>74</v>
      </c>
      <c r="B47" s="36">
        <f>1256/1000</f>
        <v>1.256</v>
      </c>
      <c r="C47" s="52">
        <v>147</v>
      </c>
      <c r="D47" s="52">
        <v>93</v>
      </c>
      <c r="E47" s="17" t="s">
        <v>41</v>
      </c>
      <c r="F47" s="55" t="s">
        <v>41</v>
      </c>
      <c r="G47" s="28"/>
      <c r="H47" s="55" t="s">
        <v>41</v>
      </c>
      <c r="I47" s="62" t="s">
        <v>41</v>
      </c>
      <c r="J47" s="5" t="s">
        <v>41</v>
      </c>
      <c r="K47" s="11"/>
      <c r="L47" s="65">
        <f>24517/1000</f>
        <v>24.517</v>
      </c>
      <c r="M47" s="27">
        <f>1675/1000</f>
        <v>1.675</v>
      </c>
      <c r="N47" s="31">
        <f>1450/1000</f>
        <v>1.45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>
      <c r="A48" s="2" t="s">
        <v>75</v>
      </c>
      <c r="B48" s="36">
        <f>1543/1000</f>
        <v>1.543</v>
      </c>
      <c r="C48" s="4">
        <v>152</v>
      </c>
      <c r="D48" s="4">
        <v>126</v>
      </c>
      <c r="E48" s="17" t="s">
        <v>41</v>
      </c>
      <c r="F48" s="55" t="s">
        <v>41</v>
      </c>
      <c r="G48" s="28"/>
      <c r="H48" s="55" t="s">
        <v>41</v>
      </c>
      <c r="I48" s="62" t="s">
        <v>41</v>
      </c>
      <c r="J48" s="5" t="s">
        <v>41</v>
      </c>
      <c r="K48" s="11"/>
      <c r="L48" s="62" t="s">
        <v>41</v>
      </c>
      <c r="M48" s="27">
        <f>2133/1000</f>
        <v>2.133</v>
      </c>
      <c r="N48" s="31">
        <f>1655/1000</f>
        <v>1.655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>
      <c r="A49" s="2" t="s">
        <v>76</v>
      </c>
      <c r="B49" s="36">
        <f>1845/1000</f>
        <v>1.845</v>
      </c>
      <c r="C49" s="4">
        <v>252</v>
      </c>
      <c r="D49" s="4">
        <v>221</v>
      </c>
      <c r="E49" s="17" t="s">
        <v>41</v>
      </c>
      <c r="F49" s="55" t="s">
        <v>41</v>
      </c>
      <c r="G49" s="28"/>
      <c r="H49" s="55" t="s">
        <v>41</v>
      </c>
      <c r="I49" s="62" t="s">
        <v>41</v>
      </c>
      <c r="J49" s="5" t="s">
        <v>41</v>
      </c>
      <c r="K49" s="11"/>
      <c r="L49" s="27">
        <f>32791/1000</f>
        <v>32.791</v>
      </c>
      <c r="M49" s="27">
        <f>2283/1000</f>
        <v>2.283</v>
      </c>
      <c r="N49" s="31">
        <f>2047/1000</f>
        <v>2.047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>
      <c r="A50" s="2" t="s">
        <v>77</v>
      </c>
      <c r="B50" s="36">
        <f>2675/1000</f>
        <v>2.675</v>
      </c>
      <c r="C50" s="4">
        <v>410</v>
      </c>
      <c r="D50" s="4">
        <v>319</v>
      </c>
      <c r="E50" s="17" t="s">
        <v>41</v>
      </c>
      <c r="F50" s="55" t="s">
        <v>41</v>
      </c>
      <c r="G50" s="28"/>
      <c r="H50" s="55" t="s">
        <v>41</v>
      </c>
      <c r="I50" s="62" t="s">
        <v>41</v>
      </c>
      <c r="J50" s="5" t="s">
        <v>41</v>
      </c>
      <c r="K50" s="11"/>
      <c r="L50" s="27">
        <f>38339/1000</f>
        <v>38.339</v>
      </c>
      <c r="M50" s="27">
        <f>2456/1000</f>
        <v>2.456</v>
      </c>
      <c r="N50" s="31">
        <f>2423/1000</f>
        <v>2.423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>
      <c r="A51" s="2" t="s">
        <v>78</v>
      </c>
      <c r="B51" s="36">
        <f>2913/1000</f>
        <v>2.913</v>
      </c>
      <c r="C51" s="4">
        <v>446</v>
      </c>
      <c r="D51" s="4">
        <v>336</v>
      </c>
      <c r="E51" s="17" t="s">
        <v>41</v>
      </c>
      <c r="F51" s="55" t="s">
        <v>41</v>
      </c>
      <c r="G51" s="28"/>
      <c r="H51" s="55" t="s">
        <v>41</v>
      </c>
      <c r="I51" s="62" t="s">
        <v>41</v>
      </c>
      <c r="J51" s="5" t="s">
        <v>41</v>
      </c>
      <c r="K51" s="11"/>
      <c r="L51" s="27">
        <f>42150/1000</f>
        <v>42.15</v>
      </c>
      <c r="M51" s="27">
        <f>3349/1000</f>
        <v>3.349</v>
      </c>
      <c r="N51" s="31">
        <f>3084/1000</f>
        <v>3.084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>
      <c r="A52" s="2" t="s">
        <v>79</v>
      </c>
      <c r="B52" s="36">
        <f>3197/1000</f>
        <v>3.197</v>
      </c>
      <c r="C52" s="4">
        <v>429</v>
      </c>
      <c r="D52" s="4">
        <v>406</v>
      </c>
      <c r="E52" s="17" t="s">
        <v>41</v>
      </c>
      <c r="F52" s="55" t="s">
        <v>41</v>
      </c>
      <c r="G52" s="28"/>
      <c r="H52" s="55" t="s">
        <v>41</v>
      </c>
      <c r="I52" s="62" t="s">
        <v>41</v>
      </c>
      <c r="J52" s="5" t="s">
        <v>41</v>
      </c>
      <c r="K52" s="11"/>
      <c r="L52" s="27">
        <f>38053/1000</f>
        <v>38.053</v>
      </c>
      <c r="M52" s="27">
        <f>3094/1000</f>
        <v>3.094</v>
      </c>
      <c r="N52" s="31">
        <f>1960/1000</f>
        <v>1.96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>
      <c r="A53" s="2" t="s">
        <v>80</v>
      </c>
      <c r="B53" s="36">
        <f>3551/1000</f>
        <v>3.551</v>
      </c>
      <c r="C53" s="4">
        <v>513</v>
      </c>
      <c r="D53" s="4">
        <v>515</v>
      </c>
      <c r="E53" s="17" t="s">
        <v>41</v>
      </c>
      <c r="F53" s="55" t="s">
        <v>41</v>
      </c>
      <c r="G53" s="28"/>
      <c r="H53" s="55" t="s">
        <v>41</v>
      </c>
      <c r="I53" s="62" t="s">
        <v>41</v>
      </c>
      <c r="J53" s="5" t="s">
        <v>41</v>
      </c>
      <c r="K53" s="11"/>
      <c r="L53" s="27">
        <f>42042/1000</f>
        <v>42.042</v>
      </c>
      <c r="M53" s="27">
        <f>3177/1000</f>
        <v>3.177</v>
      </c>
      <c r="N53" s="31">
        <f>2318/1000</f>
        <v>2.318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>
      <c r="A54" s="32" t="s">
        <v>81</v>
      </c>
      <c r="B54" s="45">
        <f>4004/1000</f>
        <v>4.004</v>
      </c>
      <c r="C54" s="51">
        <v>690</v>
      </c>
      <c r="D54" s="51">
        <v>603</v>
      </c>
      <c r="E54" s="33" t="s">
        <v>41</v>
      </c>
      <c r="F54" s="56" t="s">
        <v>41</v>
      </c>
      <c r="G54" s="35"/>
      <c r="H54" s="56" t="s">
        <v>41</v>
      </c>
      <c r="I54" s="63" t="s">
        <v>41</v>
      </c>
      <c r="J54" s="34" t="s">
        <v>41</v>
      </c>
      <c r="K54" s="35"/>
      <c r="L54" s="66">
        <f>46375/1000</f>
        <v>46.375</v>
      </c>
      <c r="M54" s="66">
        <f>4021/1000</f>
        <v>4.021</v>
      </c>
      <c r="N54" s="73">
        <f>2625/1000</f>
        <v>2.625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>
      <c r="A55" s="2" t="s">
        <v>82</v>
      </c>
      <c r="B55" s="36">
        <f>6007/1000</f>
        <v>6.007</v>
      </c>
      <c r="C55" s="4">
        <v>941</v>
      </c>
      <c r="D55" s="4">
        <v>706</v>
      </c>
      <c r="E55" s="17" t="s">
        <v>41</v>
      </c>
      <c r="F55" s="55" t="s">
        <v>41</v>
      </c>
      <c r="G55" s="28"/>
      <c r="H55" s="55" t="s">
        <v>41</v>
      </c>
      <c r="I55" s="62" t="s">
        <v>41</v>
      </c>
      <c r="J55" s="5" t="s">
        <v>41</v>
      </c>
      <c r="K55" s="11"/>
      <c r="L55" s="27">
        <f>55274/1000</f>
        <v>55.274</v>
      </c>
      <c r="M55" s="27">
        <f>5147/1000</f>
        <v>5.147</v>
      </c>
      <c r="N55" s="31">
        <f>3345/1000</f>
        <v>3.345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>
      <c r="A56" s="2" t="s">
        <v>83</v>
      </c>
      <c r="B56" s="36">
        <f>8255/1000</f>
        <v>8.255</v>
      </c>
      <c r="C56" s="4">
        <v>1296</v>
      </c>
      <c r="D56" s="4">
        <v>356</v>
      </c>
      <c r="E56" s="17" t="s">
        <v>41</v>
      </c>
      <c r="F56" s="55" t="s">
        <v>41</v>
      </c>
      <c r="G56" s="28"/>
      <c r="H56" s="55" t="s">
        <v>41</v>
      </c>
      <c r="I56" s="62" t="s">
        <v>41</v>
      </c>
      <c r="J56" s="5" t="s">
        <v>41</v>
      </c>
      <c r="K56" s="11"/>
      <c r="L56" s="27">
        <f>57212/1000</f>
        <v>57.212</v>
      </c>
      <c r="M56" s="27">
        <f>8079/1000</f>
        <v>8.079</v>
      </c>
      <c r="N56" s="31">
        <f>2756/1000</f>
        <v>2.756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>
      <c r="A57" s="2" t="s">
        <v>84</v>
      </c>
      <c r="B57" s="36">
        <f>3274/1000</f>
        <v>3.274</v>
      </c>
      <c r="C57" s="4">
        <v>448</v>
      </c>
      <c r="D57" s="4">
        <v>191</v>
      </c>
      <c r="E57" s="17" t="s">
        <v>41</v>
      </c>
      <c r="F57" s="55" t="s">
        <v>41</v>
      </c>
      <c r="G57" s="28"/>
      <c r="H57" s="55" t="s">
        <v>41</v>
      </c>
      <c r="I57" s="62" t="s">
        <v>41</v>
      </c>
      <c r="J57" s="5" t="s">
        <v>41</v>
      </c>
      <c r="K57" s="11"/>
      <c r="L57" s="27">
        <f>63235/1000</f>
        <v>63.235</v>
      </c>
      <c r="M57" s="27">
        <f>12965/1000</f>
        <v>12.965</v>
      </c>
      <c r="N57" s="31">
        <f>3381/1000</f>
        <v>3.381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>
      <c r="A58" s="2" t="s">
        <v>85</v>
      </c>
      <c r="B58" s="36">
        <f>1994/1000</f>
        <v>1.994</v>
      </c>
      <c r="C58" s="4">
        <v>229</v>
      </c>
      <c r="D58" s="4">
        <v>142</v>
      </c>
      <c r="E58" s="17" t="s">
        <v>41</v>
      </c>
      <c r="F58" s="55" t="s">
        <v>41</v>
      </c>
      <c r="G58" s="28"/>
      <c r="H58" s="55" t="s">
        <v>41</v>
      </c>
      <c r="I58" s="62" t="s">
        <v>41</v>
      </c>
      <c r="J58" s="5" t="s">
        <v>41</v>
      </c>
      <c r="K58" s="11"/>
      <c r="L58" s="27">
        <f>70208/1000</f>
        <v>70.208</v>
      </c>
      <c r="M58" s="27">
        <f>14259/1000</f>
        <v>14.259</v>
      </c>
      <c r="N58" s="31">
        <f>3929/1000</f>
        <v>3.929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>
      <c r="A59" s="2" t="s">
        <v>86</v>
      </c>
      <c r="B59" s="36">
        <f>3299/1000</f>
        <v>3.299</v>
      </c>
      <c r="C59" s="4">
        <v>397</v>
      </c>
      <c r="D59" s="4">
        <v>326</v>
      </c>
      <c r="E59" s="17" t="s">
        <v>41</v>
      </c>
      <c r="F59" s="55" t="s">
        <v>41</v>
      </c>
      <c r="G59" s="28"/>
      <c r="H59" s="55" t="s">
        <v>41</v>
      </c>
      <c r="I59" s="62" t="s">
        <v>41</v>
      </c>
      <c r="J59" s="5" t="s">
        <v>41</v>
      </c>
      <c r="K59" s="11"/>
      <c r="L59" s="27">
        <f>78034/1000</f>
        <v>78.034</v>
      </c>
      <c r="M59" s="27">
        <f>9806/1000</f>
        <v>9.806</v>
      </c>
      <c r="N59" s="31">
        <f>4159/1000</f>
        <v>4.159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>
      <c r="A60" s="2" t="s">
        <v>87</v>
      </c>
      <c r="B60" s="36">
        <f>7490/1000</f>
        <v>7.49</v>
      </c>
      <c r="C60" s="4">
        <v>946</v>
      </c>
      <c r="D60" s="4">
        <v>1023</v>
      </c>
      <c r="E60" s="17" t="s">
        <v>41</v>
      </c>
      <c r="F60" s="55" t="s">
        <v>41</v>
      </c>
      <c r="G60" s="28"/>
      <c r="H60" s="55" t="s">
        <v>41</v>
      </c>
      <c r="I60" s="62" t="s">
        <v>41</v>
      </c>
      <c r="J60" s="5" t="s">
        <v>41</v>
      </c>
      <c r="K60" s="18" t="s">
        <v>88</v>
      </c>
      <c r="L60" s="27">
        <f>104802/1000</f>
        <v>104.802</v>
      </c>
      <c r="M60" s="27">
        <f>9738/1000</f>
        <v>9.738</v>
      </c>
      <c r="N60" s="31">
        <f>4942/1000</f>
        <v>4.942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6.5">
      <c r="A61" s="2" t="s">
        <v>89</v>
      </c>
      <c r="B61" s="36">
        <f>9175/1000</f>
        <v>9.175</v>
      </c>
      <c r="C61" s="4">
        <v>1060</v>
      </c>
      <c r="D61" s="4">
        <v>1268</v>
      </c>
      <c r="E61" s="17" t="s">
        <v>41</v>
      </c>
      <c r="F61" s="55" t="s">
        <v>41</v>
      </c>
      <c r="G61" s="28"/>
      <c r="H61" s="57">
        <v>186</v>
      </c>
      <c r="I61" s="62" t="s">
        <v>41</v>
      </c>
      <c r="J61" s="5" t="s">
        <v>41</v>
      </c>
      <c r="K61" s="18"/>
      <c r="L61" s="27">
        <f>122406/1000</f>
        <v>122.406</v>
      </c>
      <c r="M61" s="27">
        <f>14430/1000</f>
        <v>14.43</v>
      </c>
      <c r="N61" s="31">
        <f>5756/1000</f>
        <v>5.756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>
      <c r="A62" s="2" t="s">
        <v>90</v>
      </c>
      <c r="B62" s="36">
        <f>11121/1000</f>
        <v>11.121</v>
      </c>
      <c r="C62" s="4">
        <v>1060</v>
      </c>
      <c r="D62" s="4">
        <v>1362</v>
      </c>
      <c r="E62" s="17" t="s">
        <v>41</v>
      </c>
      <c r="F62" s="55" t="s">
        <v>41</v>
      </c>
      <c r="G62" s="28"/>
      <c r="H62" s="28">
        <v>217</v>
      </c>
      <c r="I62" s="62" t="s">
        <v>41</v>
      </c>
      <c r="J62" s="5" t="s">
        <v>41</v>
      </c>
      <c r="K62" s="18"/>
      <c r="L62" s="27">
        <f>133619/1000</f>
        <v>133.619</v>
      </c>
      <c r="M62" s="27">
        <f>12653/1000</f>
        <v>12.653</v>
      </c>
      <c r="N62" s="31">
        <f>7124/1000</f>
        <v>7.124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>
      <c r="A63" s="2" t="s">
        <v>91</v>
      </c>
      <c r="B63" s="36">
        <f>11826/1000</f>
        <v>11.826</v>
      </c>
      <c r="C63" s="4">
        <v>1038</v>
      </c>
      <c r="D63" s="4">
        <v>1466</v>
      </c>
      <c r="E63" s="17" t="s">
        <v>41</v>
      </c>
      <c r="F63" s="55" t="s">
        <v>41</v>
      </c>
      <c r="G63" s="28"/>
      <c r="H63" s="28">
        <v>193</v>
      </c>
      <c r="I63" s="62" t="s">
        <v>41</v>
      </c>
      <c r="J63" s="5" t="s">
        <v>41</v>
      </c>
      <c r="K63" s="18"/>
      <c r="L63" s="27">
        <f>133783/1000</f>
        <v>133.783</v>
      </c>
      <c r="M63" s="27">
        <f>12051/1000</f>
        <v>12.051</v>
      </c>
      <c r="N63" s="31">
        <f>6622/1000</f>
        <v>6.622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>
      <c r="A64" s="32" t="s">
        <v>92</v>
      </c>
      <c r="B64" s="45">
        <f>16592/1000</f>
        <v>16.592</v>
      </c>
      <c r="C64" s="51">
        <v>1475</v>
      </c>
      <c r="D64" s="51">
        <v>1952</v>
      </c>
      <c r="E64" s="33" t="s">
        <v>41</v>
      </c>
      <c r="F64" s="56" t="s">
        <v>41</v>
      </c>
      <c r="G64" s="35"/>
      <c r="H64" s="58">
        <v>224</v>
      </c>
      <c r="I64" s="63" t="s">
        <v>41</v>
      </c>
      <c r="J64" s="34" t="s">
        <v>41</v>
      </c>
      <c r="K64" s="38"/>
      <c r="L64" s="66">
        <f>147213/1000</f>
        <v>147.213</v>
      </c>
      <c r="M64" s="66">
        <f>10275/1000</f>
        <v>10.275</v>
      </c>
      <c r="N64" s="73">
        <f>8852/1000</f>
        <v>8.852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>
      <c r="A65" s="2" t="s">
        <v>93</v>
      </c>
      <c r="B65" s="36">
        <f>17151/1000</f>
        <v>17.151</v>
      </c>
      <c r="C65" s="4">
        <v>1279</v>
      </c>
      <c r="D65" s="4">
        <v>1491</v>
      </c>
      <c r="E65" s="17" t="s">
        <v>41</v>
      </c>
      <c r="F65" s="55" t="s">
        <v>41</v>
      </c>
      <c r="G65" s="28"/>
      <c r="H65" s="28">
        <v>261</v>
      </c>
      <c r="I65" s="62" t="s">
        <v>41</v>
      </c>
      <c r="J65" s="5" t="s">
        <v>41</v>
      </c>
      <c r="K65" s="18"/>
      <c r="L65" s="27">
        <f>156548/1000</f>
        <v>156.548</v>
      </c>
      <c r="M65" s="27">
        <f>15032/1000</f>
        <v>15.032</v>
      </c>
      <c r="N65" s="31">
        <f>10967/1000</f>
        <v>10.967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>
      <c r="A66" s="2" t="s">
        <v>94</v>
      </c>
      <c r="B66" s="36">
        <f>18070/1000</f>
        <v>18.07</v>
      </c>
      <c r="C66" s="4">
        <v>1288</v>
      </c>
      <c r="D66" s="4">
        <v>1504</v>
      </c>
      <c r="E66" s="17" t="s">
        <v>41</v>
      </c>
      <c r="F66" s="55" t="s">
        <v>41</v>
      </c>
      <c r="G66" s="28"/>
      <c r="H66" s="28">
        <v>270</v>
      </c>
      <c r="I66" s="62" t="s">
        <v>41</v>
      </c>
      <c r="J66" s="5" t="s">
        <v>41</v>
      </c>
      <c r="K66" s="18"/>
      <c r="L66" s="27">
        <f>162353/1000</f>
        <v>162.353</v>
      </c>
      <c r="M66" s="27">
        <f>15201/1000</f>
        <v>15.201</v>
      </c>
      <c r="N66" s="31">
        <f>10717/1000</f>
        <v>10.717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>
      <c r="A67" s="2" t="s">
        <v>95</v>
      </c>
      <c r="B67" s="36">
        <f>18804/1000</f>
        <v>18.804</v>
      </c>
      <c r="C67" s="4">
        <v>1306</v>
      </c>
      <c r="D67" s="4">
        <v>1438</v>
      </c>
      <c r="E67" s="17" t="s">
        <v>41</v>
      </c>
      <c r="F67" s="55" t="s">
        <v>41</v>
      </c>
      <c r="G67" s="28"/>
      <c r="H67" s="28">
        <v>298</v>
      </c>
      <c r="I67" s="62" t="s">
        <v>41</v>
      </c>
      <c r="J67" s="5" t="s">
        <v>41</v>
      </c>
      <c r="K67" s="18"/>
      <c r="L67" s="27">
        <f>169094/1000</f>
        <v>169.094</v>
      </c>
      <c r="M67" s="27">
        <f>15774/1000</f>
        <v>15.774</v>
      </c>
      <c r="N67" s="31">
        <f>10873/1000</f>
        <v>10.873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>
      <c r="A68" s="2" t="s">
        <v>96</v>
      </c>
      <c r="B68" s="36">
        <f>20596/1000</f>
        <v>20.596</v>
      </c>
      <c r="C68" s="4">
        <v>1486</v>
      </c>
      <c r="D68" s="4">
        <v>1551</v>
      </c>
      <c r="E68" s="17" t="s">
        <v>41</v>
      </c>
      <c r="F68" s="55" t="s">
        <v>41</v>
      </c>
      <c r="G68" s="28"/>
      <c r="H68" s="28">
        <v>280</v>
      </c>
      <c r="I68" s="62" t="s">
        <v>41</v>
      </c>
      <c r="J68" s="5" t="s">
        <v>41</v>
      </c>
      <c r="K68" s="18"/>
      <c r="L68" s="27">
        <f>169135/1000</f>
        <v>169.135</v>
      </c>
      <c r="M68" s="27">
        <f>15110/1000</f>
        <v>15.11</v>
      </c>
      <c r="N68" s="31">
        <f>10215/1000</f>
        <v>10.215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>
      <c r="A69" s="2" t="s">
        <v>97</v>
      </c>
      <c r="B69" s="36">
        <f>24632/1000</f>
        <v>24.632</v>
      </c>
      <c r="C69" s="4">
        <v>1695</v>
      </c>
      <c r="D69" s="4">
        <v>1646</v>
      </c>
      <c r="E69" s="17" t="s">
        <v>41</v>
      </c>
      <c r="F69" s="55" t="s">
        <v>41</v>
      </c>
      <c r="G69" s="28"/>
      <c r="H69" s="28">
        <v>318</v>
      </c>
      <c r="I69" s="64">
        <v>26.2</v>
      </c>
      <c r="J69" s="39">
        <v>24.2</v>
      </c>
      <c r="K69" s="18"/>
      <c r="L69" s="27">
        <f>183851/1000</f>
        <v>183.851</v>
      </c>
      <c r="M69" s="27">
        <f>15547/1000</f>
        <v>15.547</v>
      </c>
      <c r="N69" s="31">
        <f>11384/1000</f>
        <v>11.384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>
      <c r="A70" s="2" t="s">
        <v>98</v>
      </c>
      <c r="B70" s="36">
        <f>31612/1000</f>
        <v>31.612</v>
      </c>
      <c r="C70" s="4">
        <v>2017</v>
      </c>
      <c r="D70" s="4">
        <v>1349</v>
      </c>
      <c r="E70" s="17" t="s">
        <v>41</v>
      </c>
      <c r="F70" s="55" t="s">
        <v>41</v>
      </c>
      <c r="G70" s="28"/>
      <c r="H70" s="28">
        <v>333</v>
      </c>
      <c r="I70" s="27">
        <v>27.4</v>
      </c>
      <c r="J70" s="30">
        <v>25.1</v>
      </c>
      <c r="K70" s="18"/>
      <c r="L70" s="27">
        <f>189729/1000</f>
        <v>189.729</v>
      </c>
      <c r="M70" s="27">
        <f>19090/1000</f>
        <v>19.09</v>
      </c>
      <c r="N70" s="31">
        <f>12615/1000</f>
        <v>12.615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>
      <c r="A71" s="2" t="s">
        <v>99</v>
      </c>
      <c r="B71" s="36">
        <f>32173/1000</f>
        <v>32.173</v>
      </c>
      <c r="C71" s="4">
        <v>2003</v>
      </c>
      <c r="D71" s="4">
        <v>1224</v>
      </c>
      <c r="E71" s="17" t="s">
        <v>41</v>
      </c>
      <c r="F71" s="55" t="s">
        <v>41</v>
      </c>
      <c r="G71" s="28"/>
      <c r="H71" s="28">
        <v>345</v>
      </c>
      <c r="I71" s="27">
        <v>27.8</v>
      </c>
      <c r="J71" s="30">
        <v>25.4</v>
      </c>
      <c r="K71" s="18"/>
      <c r="L71" s="27">
        <f>200002/1000</f>
        <v>200.002</v>
      </c>
      <c r="M71" s="27">
        <f>20850/1000</f>
        <v>20.85</v>
      </c>
      <c r="N71" s="31">
        <f>12982/1000</f>
        <v>12.982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6.5">
      <c r="A72" s="2" t="s">
        <v>100</v>
      </c>
      <c r="B72" s="36">
        <f>35090/1000</f>
        <v>35.09</v>
      </c>
      <c r="C72" s="4">
        <v>2101</v>
      </c>
      <c r="D72" s="4">
        <v>1382</v>
      </c>
      <c r="E72" s="17" t="s">
        <v>41</v>
      </c>
      <c r="F72" s="55" t="s">
        <v>41</v>
      </c>
      <c r="G72" s="28"/>
      <c r="H72" s="28">
        <v>327</v>
      </c>
      <c r="I72" s="65">
        <v>26</v>
      </c>
      <c r="J72" s="29">
        <v>23.7</v>
      </c>
      <c r="K72" s="18"/>
      <c r="L72" s="27">
        <f>200353/1000</f>
        <v>200.353</v>
      </c>
      <c r="M72" s="27">
        <f>17910/1000</f>
        <v>17.91</v>
      </c>
      <c r="N72" s="31">
        <f>12792/1000</f>
        <v>12.792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>
      <c r="A73" s="2" t="s">
        <v>101</v>
      </c>
      <c r="B73" s="36">
        <f>36269/1000</f>
        <v>36.269</v>
      </c>
      <c r="C73" s="4">
        <v>2337</v>
      </c>
      <c r="D73" s="4">
        <v>1517</v>
      </c>
      <c r="E73" s="17" t="s">
        <v>41</v>
      </c>
      <c r="F73" s="55" t="s">
        <v>41</v>
      </c>
      <c r="G73" s="28"/>
      <c r="H73" s="28">
        <v>363</v>
      </c>
      <c r="I73" s="27">
        <v>29.1</v>
      </c>
      <c r="J73" s="30">
        <v>26.7</v>
      </c>
      <c r="K73" s="18"/>
      <c r="L73" s="27">
        <f>215413/1000</f>
        <v>215.413</v>
      </c>
      <c r="M73" s="27">
        <f>17634/1000</f>
        <v>17.634</v>
      </c>
      <c r="N73" s="31">
        <f>15207/1000</f>
        <v>15.207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>
      <c r="A74" s="32" t="s">
        <v>102</v>
      </c>
      <c r="B74" s="45">
        <f>36318/1000</f>
        <v>36.318</v>
      </c>
      <c r="C74" s="51">
        <v>2154</v>
      </c>
      <c r="D74" s="51">
        <v>1252</v>
      </c>
      <c r="E74" s="33" t="s">
        <v>41</v>
      </c>
      <c r="F74" s="56" t="s">
        <v>41</v>
      </c>
      <c r="G74" s="35"/>
      <c r="H74" s="58">
        <v>371</v>
      </c>
      <c r="I74" s="66">
        <v>29.7</v>
      </c>
      <c r="J74" s="32">
        <v>27.2</v>
      </c>
      <c r="K74" s="38"/>
      <c r="L74" s="66">
        <f>219529/1000</f>
        <v>219.529</v>
      </c>
      <c r="M74" s="66">
        <f>20575/1000</f>
        <v>20.575</v>
      </c>
      <c r="N74" s="73">
        <f>14654/1000</f>
        <v>14.654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>
      <c r="A75" s="2" t="s">
        <v>103</v>
      </c>
      <c r="B75" s="36">
        <f>37135/1000</f>
        <v>37.135</v>
      </c>
      <c r="C75" s="4">
        <v>2203</v>
      </c>
      <c r="D75" s="4">
        <v>1313</v>
      </c>
      <c r="E75" s="17" t="s">
        <v>41</v>
      </c>
      <c r="F75" s="55" t="s">
        <v>41</v>
      </c>
      <c r="G75" s="28"/>
      <c r="H75" s="28">
        <v>371</v>
      </c>
      <c r="I75" s="27">
        <v>29.9</v>
      </c>
      <c r="J75" s="30">
        <v>27.3</v>
      </c>
      <c r="K75" s="18" t="s">
        <v>88</v>
      </c>
      <c r="L75" s="27">
        <f>218992/1000</f>
        <v>218.992</v>
      </c>
      <c r="M75" s="27">
        <f>20999/1000</f>
        <v>20.999</v>
      </c>
      <c r="N75" s="31">
        <f>14714/1000</f>
        <v>14.714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>
      <c r="A76" s="2" t="s">
        <v>104</v>
      </c>
      <c r="B76" s="36">
        <f>41303/1000</f>
        <v>41.303</v>
      </c>
      <c r="C76" s="4">
        <v>2414</v>
      </c>
      <c r="D76" s="4">
        <v>1463</v>
      </c>
      <c r="E76" s="17" t="s">
        <v>41</v>
      </c>
      <c r="F76" s="55" t="s">
        <v>41</v>
      </c>
      <c r="G76" s="28"/>
      <c r="H76" s="28">
        <v>400</v>
      </c>
      <c r="I76" s="27">
        <v>32.4</v>
      </c>
      <c r="J76" s="30">
        <v>29.7</v>
      </c>
      <c r="K76" s="36"/>
      <c r="L76" s="27">
        <f>235563/1000</f>
        <v>235.563</v>
      </c>
      <c r="M76" s="27">
        <f>21700/1000</f>
        <v>21.7</v>
      </c>
      <c r="N76" s="31">
        <f>16380/1000</f>
        <v>16.38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>
      <c r="A77" s="2" t="s">
        <v>105</v>
      </c>
      <c r="B77" s="36">
        <f>45546/1000</f>
        <v>45.546</v>
      </c>
      <c r="C77" s="4">
        <v>2711</v>
      </c>
      <c r="D77" s="4">
        <v>1603.2</v>
      </c>
      <c r="E77" s="17">
        <v>560</v>
      </c>
      <c r="F77" s="55" t="s">
        <v>41</v>
      </c>
      <c r="G77" s="28"/>
      <c r="H77" s="28">
        <v>421</v>
      </c>
      <c r="I77" s="27">
        <v>34.3</v>
      </c>
      <c r="J77" s="30">
        <v>31.5</v>
      </c>
      <c r="K77" s="36"/>
      <c r="L77" s="27">
        <f>246666/1000</f>
        <v>246.666</v>
      </c>
      <c r="M77" s="27">
        <f>23347/1000</f>
        <v>23.347</v>
      </c>
      <c r="N77" s="31">
        <f>17138/1000</f>
        <v>17.138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>
      <c r="A78" s="2" t="s">
        <v>106</v>
      </c>
      <c r="B78" s="36">
        <f>47330/1000</f>
        <v>47.33</v>
      </c>
      <c r="C78" s="4">
        <v>2738</v>
      </c>
      <c r="D78" s="4">
        <v>1529</v>
      </c>
      <c r="E78" s="17">
        <v>565</v>
      </c>
      <c r="F78" s="55" t="s">
        <v>41</v>
      </c>
      <c r="G78" s="28"/>
      <c r="H78" s="28">
        <v>448</v>
      </c>
      <c r="I78" s="27">
        <v>36.6</v>
      </c>
      <c r="J78" s="30">
        <v>33.6</v>
      </c>
      <c r="K78" s="36"/>
      <c r="L78" s="27">
        <f>261870/1000</f>
        <v>261.87</v>
      </c>
      <c r="M78" s="27">
        <f>26508/1000</f>
        <v>26.508</v>
      </c>
      <c r="N78" s="31">
        <f>18684/1000</f>
        <v>18.684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>
      <c r="A79" s="2" t="s">
        <v>107</v>
      </c>
      <c r="B79" s="36">
        <f>49272/1000</f>
        <v>49.272</v>
      </c>
      <c r="C79" s="4">
        <v>2843</v>
      </c>
      <c r="D79" s="4">
        <v>1473</v>
      </c>
      <c r="E79" s="17">
        <v>575</v>
      </c>
      <c r="F79" s="55" t="s">
        <v>41</v>
      </c>
      <c r="G79" s="28"/>
      <c r="H79" s="28">
        <v>492</v>
      </c>
      <c r="I79" s="27">
        <v>40.3</v>
      </c>
      <c r="J79" s="30">
        <v>37.3</v>
      </c>
      <c r="K79" s="36"/>
      <c r="L79" s="27">
        <f>284128/1000</f>
        <v>284.128</v>
      </c>
      <c r="M79" s="27">
        <f>27470/1000</f>
        <v>27.47</v>
      </c>
      <c r="N79" s="31">
        <f>21364/1000</f>
        <v>21.364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>
      <c r="A80" s="2" t="s">
        <v>108</v>
      </c>
      <c r="B80" s="36">
        <f>50150/1000</f>
        <v>50.15</v>
      </c>
      <c r="C80" s="4">
        <v>2643</v>
      </c>
      <c r="D80" s="4">
        <v>1165</v>
      </c>
      <c r="E80" s="17">
        <v>461</v>
      </c>
      <c r="F80" s="55" t="s">
        <v>41</v>
      </c>
      <c r="G80" s="28"/>
      <c r="H80" s="28">
        <v>538</v>
      </c>
      <c r="I80" s="27">
        <v>43.9</v>
      </c>
      <c r="J80" s="30">
        <v>40.7</v>
      </c>
      <c r="K80" s="36"/>
      <c r="L80" s="27">
        <f>303956/1000</f>
        <v>303.956</v>
      </c>
      <c r="M80" s="27">
        <f>30320/1000</f>
        <v>30.32</v>
      </c>
      <c r="N80" s="31">
        <f>25542/1000</f>
        <v>25.542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>
      <c r="A81" s="2" t="s">
        <v>109</v>
      </c>
      <c r="B81" s="36">
        <f>54514/1000</f>
        <v>54.514</v>
      </c>
      <c r="C81" s="4">
        <v>2820</v>
      </c>
      <c r="D81" s="4">
        <v>1292</v>
      </c>
      <c r="E81" s="17">
        <v>487</v>
      </c>
      <c r="F81" s="55" t="s">
        <v>41</v>
      </c>
      <c r="G81" s="28"/>
      <c r="H81" s="28">
        <v>558</v>
      </c>
      <c r="I81" s="27">
        <v>44.8</v>
      </c>
      <c r="J81" s="30">
        <v>41.4</v>
      </c>
      <c r="K81" s="36"/>
      <c r="L81" s="27">
        <f>313809/1000</f>
        <v>313.809</v>
      </c>
      <c r="M81" s="27">
        <f>31526/1000</f>
        <v>31.526</v>
      </c>
      <c r="N81" s="31">
        <f>26812/1000</f>
        <v>26.812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6.5">
      <c r="A82" s="2" t="s">
        <v>110</v>
      </c>
      <c r="B82" s="36">
        <f>61732/1000</f>
        <v>61.732</v>
      </c>
      <c r="C82" s="4">
        <v>3129</v>
      </c>
      <c r="D82" s="4">
        <v>1508</v>
      </c>
      <c r="E82" s="17">
        <v>490</v>
      </c>
      <c r="F82" s="57">
        <v>1569</v>
      </c>
      <c r="G82" s="28"/>
      <c r="H82" s="28">
        <v>603</v>
      </c>
      <c r="I82" s="27">
        <v>47.3</v>
      </c>
      <c r="J82" s="30">
        <v>43.8</v>
      </c>
      <c r="K82" s="27"/>
      <c r="L82" s="27">
        <f>339324/1000</f>
        <v>339.324</v>
      </c>
      <c r="M82" s="27">
        <f>34636/1000</f>
        <v>34.636</v>
      </c>
      <c r="N82" s="31">
        <f>33226/1000</f>
        <v>33.226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>
      <c r="A83" s="2" t="s">
        <v>111</v>
      </c>
      <c r="B83" s="36">
        <f>68294/1000</f>
        <v>68.294</v>
      </c>
      <c r="C83" s="4">
        <v>3249</v>
      </c>
      <c r="D83" s="4">
        <v>1467</v>
      </c>
      <c r="E83" s="17">
        <v>448</v>
      </c>
      <c r="F83" s="28">
        <v>1594</v>
      </c>
      <c r="G83" s="28"/>
      <c r="H83" s="28">
        <v>642</v>
      </c>
      <c r="I83" s="27">
        <v>49.5</v>
      </c>
      <c r="J83" s="30">
        <v>45.7</v>
      </c>
      <c r="K83" s="27"/>
      <c r="L83" s="27">
        <f>362935/1000</f>
        <v>362.935</v>
      </c>
      <c r="M83" s="27">
        <f>38006/1000</f>
        <v>38.006</v>
      </c>
      <c r="N83" s="31">
        <f>36043/1000</f>
        <v>36.043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>
      <c r="A84" s="32" t="s">
        <v>112</v>
      </c>
      <c r="B84" s="45">
        <f>68294/1000</f>
        <v>68.294</v>
      </c>
      <c r="C84" s="51">
        <v>2938</v>
      </c>
      <c r="D84" s="51">
        <v>1434</v>
      </c>
      <c r="E84" s="35">
        <v>485</v>
      </c>
      <c r="F84" s="58">
        <v>1612</v>
      </c>
      <c r="G84" s="35"/>
      <c r="H84" s="58">
        <v>634</v>
      </c>
      <c r="I84" s="66">
        <v>47.9</v>
      </c>
      <c r="J84" s="32">
        <v>43.6</v>
      </c>
      <c r="K84" s="35"/>
      <c r="L84" s="66">
        <v>375.2</v>
      </c>
      <c r="M84" s="66">
        <v>43.8</v>
      </c>
      <c r="N84" s="73">
        <v>40.4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>
      <c r="A85" s="2" t="s">
        <v>113</v>
      </c>
      <c r="B85" s="47" t="s">
        <v>41</v>
      </c>
      <c r="C85" s="43" t="s">
        <v>41</v>
      </c>
      <c r="D85" s="4">
        <v>2052</v>
      </c>
      <c r="E85" s="40">
        <v>656</v>
      </c>
      <c r="F85" s="28">
        <v>2018</v>
      </c>
      <c r="G85" s="28"/>
      <c r="H85" s="28">
        <v>671</v>
      </c>
      <c r="I85" s="27">
        <v>48.5</v>
      </c>
      <c r="J85" s="30">
        <v>44.3</v>
      </c>
      <c r="K85" s="27"/>
      <c r="L85" s="27">
        <v>414.2</v>
      </c>
      <c r="M85" s="27">
        <v>44.7</v>
      </c>
      <c r="N85" s="31">
        <v>46.2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>
      <c r="A86" s="2" t="s">
        <v>114</v>
      </c>
      <c r="B86" s="47" t="s">
        <v>41</v>
      </c>
      <c r="C86" s="43" t="s">
        <v>41</v>
      </c>
      <c r="D86" s="4">
        <v>2357</v>
      </c>
      <c r="E86" s="40">
        <v>718</v>
      </c>
      <c r="F86" s="28">
        <v>2252</v>
      </c>
      <c r="G86" s="28"/>
      <c r="H86" s="28">
        <v>756</v>
      </c>
      <c r="I86" s="27">
        <v>53.2</v>
      </c>
      <c r="J86" s="30">
        <v>48.9</v>
      </c>
      <c r="K86" s="27"/>
      <c r="L86" s="27">
        <v>458.5</v>
      </c>
      <c r="M86" s="27">
        <v>50.5</v>
      </c>
      <c r="N86" s="31">
        <v>56.4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>
      <c r="A87" s="2" t="s">
        <v>115</v>
      </c>
      <c r="B87" s="47" t="s">
        <v>41</v>
      </c>
      <c r="C87" s="43" t="s">
        <v>41</v>
      </c>
      <c r="D87" s="4">
        <v>2045</v>
      </c>
      <c r="E87" s="40">
        <v>634</v>
      </c>
      <c r="F87" s="28">
        <v>2334</v>
      </c>
      <c r="G87" s="28"/>
      <c r="H87" s="28">
        <v>875</v>
      </c>
      <c r="I87" s="27">
        <v>57.5</v>
      </c>
      <c r="J87" s="30">
        <v>53.3</v>
      </c>
      <c r="K87" s="27"/>
      <c r="L87" s="27">
        <v>511.9</v>
      </c>
      <c r="M87" s="27">
        <v>72.5</v>
      </c>
      <c r="N87" s="31">
        <v>70.5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>
      <c r="A88" s="2" t="s">
        <v>116</v>
      </c>
      <c r="B88" s="47" t="s">
        <v>41</v>
      </c>
      <c r="C88" s="43" t="s">
        <v>41</v>
      </c>
      <c r="D88" s="4">
        <v>1338</v>
      </c>
      <c r="E88" s="40">
        <v>519</v>
      </c>
      <c r="F88" s="28">
        <v>2272</v>
      </c>
      <c r="G88" s="28"/>
      <c r="H88" s="28">
        <v>1018</v>
      </c>
      <c r="I88" s="27">
        <v>57.2</v>
      </c>
      <c r="J88" s="30">
        <v>53.1</v>
      </c>
      <c r="K88" s="27"/>
      <c r="L88" s="27">
        <v>542</v>
      </c>
      <c r="M88" s="27">
        <v>100</v>
      </c>
      <c r="N88" s="31">
        <v>102.6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>
      <c r="A89" s="2" t="s">
        <v>117</v>
      </c>
      <c r="B89" s="47" t="s">
        <v>41</v>
      </c>
      <c r="C89" s="43" t="s">
        <v>41</v>
      </c>
      <c r="D89" s="4">
        <v>1160</v>
      </c>
      <c r="E89" s="40">
        <v>549</v>
      </c>
      <c r="F89" s="28">
        <v>2476</v>
      </c>
      <c r="G89" s="28"/>
      <c r="H89" s="28">
        <v>1039</v>
      </c>
      <c r="I89" s="27">
        <v>52</v>
      </c>
      <c r="J89" s="30">
        <v>47.5</v>
      </c>
      <c r="K89" s="27"/>
      <c r="L89" s="27">
        <v>588.1</v>
      </c>
      <c r="M89" s="27">
        <v>109.3</v>
      </c>
      <c r="N89" s="31">
        <v>98.5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>
      <c r="A90" s="2" t="s">
        <v>118</v>
      </c>
      <c r="B90" s="36">
        <v>110</v>
      </c>
      <c r="C90" s="4">
        <v>2810</v>
      </c>
      <c r="D90" s="4">
        <v>1538</v>
      </c>
      <c r="E90" s="40">
        <v>646</v>
      </c>
      <c r="F90" s="28">
        <v>3064</v>
      </c>
      <c r="G90" s="28"/>
      <c r="H90" s="28">
        <v>1186</v>
      </c>
      <c r="I90" s="27">
        <v>56</v>
      </c>
      <c r="J90" s="30">
        <v>51.7</v>
      </c>
      <c r="K90" s="27"/>
      <c r="L90" s="27">
        <v>656.4</v>
      </c>
      <c r="M90" s="27">
        <v>117</v>
      </c>
      <c r="N90" s="31">
        <v>123.5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>
      <c r="A91" s="2" t="s">
        <v>119</v>
      </c>
      <c r="B91" s="36">
        <v>141</v>
      </c>
      <c r="C91" s="4">
        <v>3542</v>
      </c>
      <c r="D91" s="4">
        <v>1987</v>
      </c>
      <c r="E91" s="40">
        <v>819</v>
      </c>
      <c r="F91" s="28">
        <v>3650</v>
      </c>
      <c r="G91" s="28"/>
      <c r="H91" s="28">
        <v>1358</v>
      </c>
      <c r="I91" s="27">
        <v>60.1</v>
      </c>
      <c r="J91" s="30">
        <v>56.1</v>
      </c>
      <c r="K91" s="11"/>
      <c r="L91" s="27">
        <v>722</v>
      </c>
      <c r="M91" s="27">
        <v>123.2</v>
      </c>
      <c r="N91" s="31">
        <v>151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>
      <c r="A92" s="2" t="s">
        <v>120</v>
      </c>
      <c r="B92" s="36">
        <v>160.6</v>
      </c>
      <c r="C92" s="4">
        <v>4114</v>
      </c>
      <c r="D92" s="4">
        <v>2020</v>
      </c>
      <c r="E92" s="40">
        <v>817</v>
      </c>
      <c r="F92" s="28">
        <v>3986</v>
      </c>
      <c r="G92" s="28"/>
      <c r="H92" s="28">
        <v>1523</v>
      </c>
      <c r="I92" s="27">
        <v>63.4</v>
      </c>
      <c r="J92" s="30">
        <v>59.5</v>
      </c>
      <c r="K92" s="11"/>
      <c r="L92" s="27">
        <v>804.2</v>
      </c>
      <c r="M92" s="27">
        <v>145.9</v>
      </c>
      <c r="N92" s="31">
        <v>174.8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>
      <c r="A93" s="2" t="s">
        <v>121</v>
      </c>
      <c r="B93" s="36">
        <v>170.9</v>
      </c>
      <c r="C93" s="4">
        <v>3919</v>
      </c>
      <c r="D93" s="4">
        <v>1745</v>
      </c>
      <c r="E93" s="40">
        <v>709</v>
      </c>
      <c r="F93" s="28">
        <v>3827</v>
      </c>
      <c r="G93" s="28"/>
      <c r="H93" s="28">
        <v>1727</v>
      </c>
      <c r="I93" s="27">
        <v>65.3</v>
      </c>
      <c r="J93" s="30">
        <v>61.2</v>
      </c>
      <c r="K93" s="11"/>
      <c r="L93" s="27">
        <v>896.8</v>
      </c>
      <c r="M93" s="27">
        <v>186.5</v>
      </c>
      <c r="N93" s="31">
        <v>209.5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>
      <c r="A94" s="32" t="s">
        <v>122</v>
      </c>
      <c r="B94" s="45">
        <v>151.8</v>
      </c>
      <c r="C94" s="51">
        <v>3102</v>
      </c>
      <c r="D94" s="51">
        <v>1292</v>
      </c>
      <c r="E94" s="35">
        <v>545</v>
      </c>
      <c r="F94" s="58">
        <v>2973</v>
      </c>
      <c r="G94" s="35"/>
      <c r="H94" s="58">
        <v>1853</v>
      </c>
      <c r="I94" s="66">
        <v>63.5</v>
      </c>
      <c r="J94" s="32">
        <v>58.9</v>
      </c>
      <c r="K94" s="35"/>
      <c r="L94" s="66">
        <v>957.35</v>
      </c>
      <c r="M94" s="66">
        <v>225.7</v>
      </c>
      <c r="N94" s="73">
        <v>245.3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>
      <c r="A95" s="2" t="s">
        <v>123</v>
      </c>
      <c r="B95" s="36">
        <v>157.3</v>
      </c>
      <c r="C95" s="4">
        <v>2805</v>
      </c>
      <c r="D95" s="4">
        <v>1084</v>
      </c>
      <c r="E95" s="40">
        <v>436</v>
      </c>
      <c r="F95" s="28">
        <v>2419</v>
      </c>
      <c r="G95" s="28"/>
      <c r="H95" s="28">
        <v>2018</v>
      </c>
      <c r="I95" s="27">
        <v>64.3</v>
      </c>
      <c r="J95" s="30">
        <v>59.5</v>
      </c>
      <c r="K95" s="11"/>
      <c r="L95" s="27">
        <v>1038</v>
      </c>
      <c r="M95" s="27">
        <v>238.7</v>
      </c>
      <c r="N95" s="31">
        <v>261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5">
      <c r="A96" s="2" t="s">
        <v>124</v>
      </c>
      <c r="B96" s="36">
        <v>157.1</v>
      </c>
      <c r="C96" s="4">
        <v>2455</v>
      </c>
      <c r="D96" s="4">
        <v>1062</v>
      </c>
      <c r="E96" s="37">
        <v>412</v>
      </c>
      <c r="F96" s="28">
        <v>1990</v>
      </c>
      <c r="G96" s="28"/>
      <c r="H96" s="28">
        <v>1960</v>
      </c>
      <c r="I96" s="27">
        <v>60.9</v>
      </c>
      <c r="J96" s="30">
        <v>56.2</v>
      </c>
      <c r="K96" s="11"/>
      <c r="L96" s="27">
        <v>1069.369</v>
      </c>
      <c r="M96" s="27">
        <v>216.4</v>
      </c>
      <c r="N96" s="31">
        <v>244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>
      <c r="A97" s="2" t="s">
        <v>125</v>
      </c>
      <c r="B97" s="36">
        <v>194.1</v>
      </c>
      <c r="C97" s="4">
        <v>3387</v>
      </c>
      <c r="D97" s="4">
        <v>1703</v>
      </c>
      <c r="E97" s="40">
        <v>623</v>
      </c>
      <c r="F97" s="28">
        <v>2697</v>
      </c>
      <c r="G97" s="28"/>
      <c r="H97" s="28">
        <v>2071</v>
      </c>
      <c r="I97" s="27">
        <v>62.5</v>
      </c>
      <c r="J97" s="30">
        <v>58.8</v>
      </c>
      <c r="K97" s="11"/>
      <c r="L97" s="27">
        <v>1170.163</v>
      </c>
      <c r="M97" s="27">
        <v>205.6</v>
      </c>
      <c r="N97" s="31">
        <v>258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>
      <c r="A98" s="2" t="s">
        <v>126</v>
      </c>
      <c r="B98" s="36">
        <v>214.3</v>
      </c>
      <c r="C98" s="4">
        <v>3661</v>
      </c>
      <c r="D98" s="4">
        <v>1750</v>
      </c>
      <c r="E98" s="40">
        <v>639</v>
      </c>
      <c r="F98" s="28">
        <v>2829</v>
      </c>
      <c r="G98" s="28"/>
      <c r="H98" s="28">
        <v>2288</v>
      </c>
      <c r="I98" s="27">
        <v>68.1</v>
      </c>
      <c r="J98" s="30">
        <v>64.6</v>
      </c>
      <c r="K98" s="11"/>
      <c r="L98" s="27">
        <v>1286.914</v>
      </c>
      <c r="M98" s="27">
        <v>224</v>
      </c>
      <c r="N98" s="31">
        <v>330.7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>
      <c r="A99" s="2" t="s">
        <v>127</v>
      </c>
      <c r="B99" s="36">
        <v>235.6</v>
      </c>
      <c r="C99" s="4">
        <v>3853</v>
      </c>
      <c r="D99" s="4">
        <v>1742</v>
      </c>
      <c r="E99" s="40">
        <v>688</v>
      </c>
      <c r="F99" s="28">
        <v>3134</v>
      </c>
      <c r="G99" s="28"/>
      <c r="H99" s="28">
        <v>2334</v>
      </c>
      <c r="I99" s="27">
        <v>68.8</v>
      </c>
      <c r="J99" s="30">
        <v>65.7</v>
      </c>
      <c r="K99" s="11"/>
      <c r="L99" s="27">
        <v>1375.027</v>
      </c>
      <c r="M99" s="27">
        <v>218.8</v>
      </c>
      <c r="N99" s="31">
        <v>336.5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>
      <c r="A100" s="2" t="s">
        <v>128</v>
      </c>
      <c r="B100" s="36">
        <v>249.3</v>
      </c>
      <c r="C100" s="4">
        <v>3935</v>
      </c>
      <c r="D100" s="4">
        <v>1805</v>
      </c>
      <c r="E100" s="40">
        <v>750</v>
      </c>
      <c r="F100" s="28">
        <v>3474</v>
      </c>
      <c r="G100" s="28"/>
      <c r="H100" s="28">
        <v>2336</v>
      </c>
      <c r="I100" s="27">
        <v>69.5</v>
      </c>
      <c r="J100" s="30">
        <v>67.1</v>
      </c>
      <c r="K100" s="11"/>
      <c r="L100" s="27">
        <v>1449.636</v>
      </c>
      <c r="M100" s="27">
        <v>227.2</v>
      </c>
      <c r="N100" s="31">
        <v>365.4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>
      <c r="A101" s="2" t="s">
        <v>129</v>
      </c>
      <c r="B101" s="36">
        <v>259</v>
      </c>
      <c r="C101" s="4">
        <v>3756</v>
      </c>
      <c r="D101" s="4">
        <v>1620.5</v>
      </c>
      <c r="E101" s="40">
        <v>671</v>
      </c>
      <c r="F101" s="28">
        <v>3436</v>
      </c>
      <c r="G101" s="28"/>
      <c r="H101" s="28">
        <v>2476</v>
      </c>
      <c r="I101" s="27">
        <v>72.8</v>
      </c>
      <c r="J101" s="30">
        <v>70.7</v>
      </c>
      <c r="K101" s="11"/>
      <c r="L101" s="27">
        <v>1541.299</v>
      </c>
      <c r="M101" s="27">
        <v>254.1</v>
      </c>
      <c r="N101" s="31">
        <v>406.2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>
      <c r="A102" s="2" t="s">
        <v>130</v>
      </c>
      <c r="B102" s="36">
        <v>262.2</v>
      </c>
      <c r="C102" s="4">
        <v>3594</v>
      </c>
      <c r="D102" s="4">
        <v>1488</v>
      </c>
      <c r="E102" s="11">
        <v>676</v>
      </c>
      <c r="F102" s="28">
        <v>3513</v>
      </c>
      <c r="G102" s="28"/>
      <c r="H102" s="28">
        <v>2695</v>
      </c>
      <c r="I102" s="27">
        <v>76.3</v>
      </c>
      <c r="J102" s="30">
        <v>74.3</v>
      </c>
      <c r="K102" s="11"/>
      <c r="L102" s="27">
        <v>1656.202</v>
      </c>
      <c r="M102" s="27">
        <v>322.4</v>
      </c>
      <c r="N102" s="31">
        <v>441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>
      <c r="A103" s="2" t="s">
        <v>131</v>
      </c>
      <c r="B103" s="36">
        <v>271.3</v>
      </c>
      <c r="C103" s="4">
        <v>3516</v>
      </c>
      <c r="D103" s="4">
        <v>1376.1</v>
      </c>
      <c r="E103" s="11">
        <v>650</v>
      </c>
      <c r="F103" s="28">
        <v>3325</v>
      </c>
      <c r="G103" s="28"/>
      <c r="H103" s="28">
        <v>2840</v>
      </c>
      <c r="I103" s="27">
        <v>77</v>
      </c>
      <c r="J103" s="30">
        <v>74.8</v>
      </c>
      <c r="K103" s="11"/>
      <c r="L103" s="27">
        <v>1758.971</v>
      </c>
      <c r="M103" s="27">
        <v>363.8</v>
      </c>
      <c r="N103" s="31">
        <v>473.2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>
      <c r="A104" s="32" t="s">
        <v>132</v>
      </c>
      <c r="B104" s="45">
        <v>246</v>
      </c>
      <c r="C104" s="51">
        <v>3020</v>
      </c>
      <c r="D104" s="51">
        <v>1192.8</v>
      </c>
      <c r="E104" s="35">
        <v>534</v>
      </c>
      <c r="F104" s="58">
        <v>3219</v>
      </c>
      <c r="G104" s="35"/>
      <c r="H104" s="58">
        <v>2912.2</v>
      </c>
      <c r="I104" s="66">
        <v>77.6</v>
      </c>
      <c r="J104" s="32">
        <v>75.2</v>
      </c>
      <c r="K104" s="35"/>
      <c r="L104" s="66">
        <v>1844.611</v>
      </c>
      <c r="M104" s="66">
        <v>393.6</v>
      </c>
      <c r="N104" s="73">
        <v>495.3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>
      <c r="A105" s="2" t="s">
        <v>133</v>
      </c>
      <c r="B105" s="36">
        <v>230.8</v>
      </c>
      <c r="C105" s="4">
        <v>2634</v>
      </c>
      <c r="D105" s="4">
        <v>1014</v>
      </c>
      <c r="E105" s="11">
        <v>509</v>
      </c>
      <c r="F105" s="28">
        <v>3186</v>
      </c>
      <c r="G105" s="28"/>
      <c r="H105" s="28">
        <v>2878.2</v>
      </c>
      <c r="I105" s="27">
        <v>76.3</v>
      </c>
      <c r="J105" s="30">
        <v>73.7</v>
      </c>
      <c r="K105" s="11"/>
      <c r="L105" s="27">
        <v>1855.937</v>
      </c>
      <c r="M105" s="27">
        <v>421.7</v>
      </c>
      <c r="N105" s="31">
        <v>488.5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>
      <c r="A106" s="2" t="s">
        <v>134</v>
      </c>
      <c r="B106" s="36">
        <v>252.2</v>
      </c>
      <c r="C106" s="4">
        <v>2799</v>
      </c>
      <c r="D106" s="4">
        <v>1200</v>
      </c>
      <c r="E106" s="11">
        <v>610</v>
      </c>
      <c r="F106" s="28">
        <v>3479</v>
      </c>
      <c r="G106" s="18" t="s">
        <v>135</v>
      </c>
      <c r="H106" s="28">
        <v>2872</v>
      </c>
      <c r="I106" s="62">
        <v>78.3</v>
      </c>
      <c r="J106" s="5">
        <v>76.3</v>
      </c>
      <c r="K106" s="18" t="s">
        <v>136</v>
      </c>
      <c r="L106" s="27">
        <v>2062.495</v>
      </c>
      <c r="M106" s="27">
        <v>448.2</v>
      </c>
      <c r="N106" s="31">
        <v>532.7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>
      <c r="A107" s="41" t="s">
        <v>137</v>
      </c>
      <c r="B107" s="36">
        <v>271.519721</v>
      </c>
      <c r="C107" s="4">
        <v>3062.023378754439</v>
      </c>
      <c r="D107" s="4">
        <v>1288</v>
      </c>
      <c r="E107" s="11">
        <v>666</v>
      </c>
      <c r="F107" s="28">
        <v>3786</v>
      </c>
      <c r="G107" s="28"/>
      <c r="H107" s="28">
        <v>2985</v>
      </c>
      <c r="I107" s="27">
        <v>80.9</v>
      </c>
      <c r="J107" s="30">
        <v>78.9</v>
      </c>
      <c r="K107" s="11"/>
      <c r="L107" s="27">
        <v>2202.443</v>
      </c>
      <c r="M107" s="27">
        <v>465.1</v>
      </c>
      <c r="N107" s="31">
        <v>580.7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>
      <c r="A108" s="2" t="s">
        <v>138</v>
      </c>
      <c r="B108" s="36">
        <v>296.707663</v>
      </c>
      <c r="C108" s="4">
        <v>3410.619707865789</v>
      </c>
      <c r="D108" s="4">
        <v>1457</v>
      </c>
      <c r="E108" s="11">
        <v>670</v>
      </c>
      <c r="F108" s="28">
        <v>3916</v>
      </c>
      <c r="G108" s="28"/>
      <c r="H108" s="28">
        <v>3191</v>
      </c>
      <c r="I108" s="27">
        <v>85.2</v>
      </c>
      <c r="J108" s="30">
        <v>83.7</v>
      </c>
      <c r="K108" s="11"/>
      <c r="L108" s="27">
        <v>2381.946</v>
      </c>
      <c r="M108" s="27">
        <v>512.6</v>
      </c>
      <c r="N108" s="31">
        <v>663.3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>
      <c r="A109" s="2" t="s">
        <v>139</v>
      </c>
      <c r="B109" s="36">
        <v>306.526859</v>
      </c>
      <c r="C109" s="4">
        <v>3453.7715</v>
      </c>
      <c r="D109" s="4">
        <v>1354</v>
      </c>
      <c r="E109" s="28">
        <v>667</v>
      </c>
      <c r="F109" s="28">
        <v>3888</v>
      </c>
      <c r="G109" s="28"/>
      <c r="H109" s="28">
        <v>3414</v>
      </c>
      <c r="I109" s="27">
        <v>89.3</v>
      </c>
      <c r="J109" s="30">
        <v>88.1</v>
      </c>
      <c r="K109" s="11"/>
      <c r="L109" s="27">
        <v>2501.956</v>
      </c>
      <c r="M109" s="27">
        <v>584.7</v>
      </c>
      <c r="N109" s="31">
        <v>743.4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>
      <c r="A110" s="2" t="s">
        <v>140</v>
      </c>
      <c r="B110" s="36">
        <v>332.03013</v>
      </c>
      <c r="C110" s="4">
        <v>3775.7892</v>
      </c>
      <c r="D110" s="4">
        <v>1477</v>
      </c>
      <c r="E110" s="11">
        <v>757</v>
      </c>
      <c r="F110" s="28">
        <v>4196</v>
      </c>
      <c r="G110" s="28"/>
      <c r="H110" s="28">
        <v>3526</v>
      </c>
      <c r="I110" s="27">
        <v>93.2</v>
      </c>
      <c r="J110" s="30">
        <v>92.2</v>
      </c>
      <c r="K110" s="11"/>
      <c r="L110" s="27">
        <v>2655.59</v>
      </c>
      <c r="M110" s="27">
        <v>625.1</v>
      </c>
      <c r="N110" s="31">
        <v>795.3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>
      <c r="A111" s="2" t="s">
        <v>141</v>
      </c>
      <c r="B111" s="36">
        <v>362.372905</v>
      </c>
      <c r="C111" s="4">
        <v>4126.4642</v>
      </c>
      <c r="D111" s="4">
        <v>1474</v>
      </c>
      <c r="E111" s="11">
        <v>804</v>
      </c>
      <c r="F111" s="28">
        <v>4382</v>
      </c>
      <c r="G111" s="28"/>
      <c r="H111" s="28">
        <v>3756</v>
      </c>
      <c r="I111" s="27">
        <v>100</v>
      </c>
      <c r="J111" s="30">
        <v>100</v>
      </c>
      <c r="K111" s="11"/>
      <c r="L111" s="27">
        <v>2778.359</v>
      </c>
      <c r="M111" s="27">
        <v>689.2</v>
      </c>
      <c r="N111" s="31">
        <v>870.7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>
      <c r="A112" s="2" t="s">
        <v>142</v>
      </c>
      <c r="B112" s="36">
        <v>405.599765</v>
      </c>
      <c r="C112" s="4">
        <v>4812.14</v>
      </c>
      <c r="D112" s="4">
        <v>1617</v>
      </c>
      <c r="E112" s="11">
        <v>886</v>
      </c>
      <c r="F112" s="28">
        <v>4970</v>
      </c>
      <c r="G112" s="28"/>
      <c r="H112" s="28">
        <v>3825</v>
      </c>
      <c r="I112" s="27">
        <v>105.6</v>
      </c>
      <c r="J112" s="30">
        <v>106.5</v>
      </c>
      <c r="K112" s="11"/>
      <c r="L112" s="27">
        <v>2917.597</v>
      </c>
      <c r="M112" s="27">
        <v>682.1</v>
      </c>
      <c r="N112" s="31">
        <v>911.9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>
      <c r="A113" s="2" t="s">
        <v>143</v>
      </c>
      <c r="B113" s="36">
        <v>447.174157</v>
      </c>
      <c r="C113" s="4">
        <v>5091.5408</v>
      </c>
      <c r="D113" s="4">
        <v>1641</v>
      </c>
      <c r="E113" s="11">
        <v>880</v>
      </c>
      <c r="F113" s="28">
        <v>5205</v>
      </c>
      <c r="G113" s="28"/>
      <c r="H113" s="28">
        <v>3948</v>
      </c>
      <c r="I113" s="27">
        <v>110.1</v>
      </c>
      <c r="J113" s="30">
        <v>111.8</v>
      </c>
      <c r="K113" s="11"/>
      <c r="L113" s="27">
        <v>3164.346</v>
      </c>
      <c r="M113" s="27">
        <v>698</v>
      </c>
      <c r="N113" s="31">
        <v>1024.6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6.5">
      <c r="A114" s="32" t="s">
        <v>144</v>
      </c>
      <c r="B114" s="45">
        <v>473.360259</v>
      </c>
      <c r="C114" s="51">
        <v>4985.5649</v>
      </c>
      <c r="D114" s="51">
        <v>1569</v>
      </c>
      <c r="E114" s="35">
        <v>877</v>
      </c>
      <c r="F114" s="58">
        <v>5152</v>
      </c>
      <c r="G114" s="35"/>
      <c r="H114" s="60">
        <v>4125</v>
      </c>
      <c r="I114" s="67">
        <v>115.3</v>
      </c>
      <c r="J114" s="42">
        <v>117.4</v>
      </c>
      <c r="K114" s="35"/>
      <c r="L114" s="66">
        <v>3377.968</v>
      </c>
      <c r="M114" s="67">
        <v>781.9</v>
      </c>
      <c r="N114" s="74">
        <v>1218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>
      <c r="A115" s="2" t="s">
        <v>145</v>
      </c>
      <c r="B115" s="36">
        <v>495.7552890000001</v>
      </c>
      <c r="C115" s="4">
        <v>4827.148</v>
      </c>
      <c r="D115" s="4">
        <v>1603</v>
      </c>
      <c r="E115" s="28">
        <v>908</v>
      </c>
      <c r="F115" s="28">
        <v>5296</v>
      </c>
      <c r="G115" s="28"/>
      <c r="H115" s="28">
        <v>3898</v>
      </c>
      <c r="I115" s="27">
        <v>111.2</v>
      </c>
      <c r="J115" s="30">
        <v>112.6</v>
      </c>
      <c r="K115" s="11"/>
      <c r="L115" s="27">
        <v>3471.6</v>
      </c>
      <c r="M115" s="27">
        <v>729.1</v>
      </c>
      <c r="N115" s="31">
        <v>1141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6.5">
      <c r="A116" s="2" t="s">
        <v>146</v>
      </c>
      <c r="B116" s="36">
        <v>502.015487</v>
      </c>
      <c r="C116" s="4">
        <v>4767.262</v>
      </c>
      <c r="D116" s="4">
        <v>1705</v>
      </c>
      <c r="E116" s="17">
        <v>973</v>
      </c>
      <c r="F116" s="28">
        <v>5566</v>
      </c>
      <c r="G116" s="28"/>
      <c r="H116" s="55">
        <v>3856</v>
      </c>
      <c r="I116" s="27">
        <v>110.5</v>
      </c>
      <c r="J116" s="30">
        <v>111.5</v>
      </c>
      <c r="K116" s="11"/>
      <c r="L116" s="69">
        <v>3580.012</v>
      </c>
      <c r="M116" s="27">
        <v>693.5</v>
      </c>
      <c r="N116" s="31">
        <v>1163.6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>
      <c r="A117" s="2"/>
      <c r="B117" s="47"/>
      <c r="C117" s="43"/>
      <c r="D117" s="4"/>
      <c r="E117" s="17"/>
      <c r="F117" s="55"/>
      <c r="G117" s="28"/>
      <c r="H117" s="28"/>
      <c r="I117" s="27"/>
      <c r="J117" s="4"/>
      <c r="K117" s="11"/>
      <c r="L117" s="27"/>
      <c r="M117" s="27"/>
      <c r="N117" s="3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6.5">
      <c r="A118" s="14" t="s">
        <v>147</v>
      </c>
      <c r="B118" s="48">
        <v>502.015487</v>
      </c>
      <c r="C118" s="53">
        <v>5091.5408</v>
      </c>
      <c r="D118" s="53">
        <v>2357</v>
      </c>
      <c r="E118" s="13">
        <v>973</v>
      </c>
      <c r="F118" s="59">
        <v>5566</v>
      </c>
      <c r="G118" s="13"/>
      <c r="H118" s="59">
        <v>4125</v>
      </c>
      <c r="I118" s="68">
        <v>115.3</v>
      </c>
      <c r="J118" s="14">
        <v>117.4</v>
      </c>
      <c r="K118" s="13"/>
      <c r="L118" s="68">
        <v>3580.012</v>
      </c>
      <c r="M118" s="68">
        <v>781.9</v>
      </c>
      <c r="N118" s="75">
        <v>1218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6.5">
      <c r="A119" s="14" t="s">
        <v>148</v>
      </c>
      <c r="B119" s="48">
        <v>0.1</v>
      </c>
      <c r="C119" s="53">
        <v>147</v>
      </c>
      <c r="D119" s="14">
        <v>93</v>
      </c>
      <c r="E119" s="13">
        <v>412</v>
      </c>
      <c r="F119" s="59">
        <v>1569</v>
      </c>
      <c r="G119" s="13"/>
      <c r="H119" s="59">
        <v>186</v>
      </c>
      <c r="I119" s="68">
        <v>26</v>
      </c>
      <c r="J119" s="14">
        <v>23.7</v>
      </c>
      <c r="K119" s="13"/>
      <c r="L119" s="70">
        <v>24.517</v>
      </c>
      <c r="M119" s="68">
        <v>1.382</v>
      </c>
      <c r="N119" s="75">
        <v>0.823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>
      <c r="A120" s="2"/>
      <c r="B120" s="11"/>
      <c r="C120" s="2"/>
      <c r="D120" s="2"/>
      <c r="E120" s="11"/>
      <c r="F120" s="11"/>
      <c r="G120" s="11"/>
      <c r="H120" s="11"/>
      <c r="I120" s="11"/>
      <c r="J120" s="2"/>
      <c r="K120" s="11"/>
      <c r="L120" s="11"/>
      <c r="M120" s="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>
      <c r="A121" s="20" t="s">
        <v>149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>
      <c r="A122" s="2" t="s">
        <v>150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>
      <c r="A123" s="2" t="s">
        <v>151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>
      <c r="A124" s="2" t="s">
        <v>152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>
      <c r="A125" s="76" t="s">
        <v>153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>
      <c r="A126" s="76" t="s">
        <v>154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>
      <c r="A127" s="76" t="s">
        <v>161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>
      <c r="A128" s="2" t="s">
        <v>155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6.5">
      <c r="A129" s="76" t="s">
        <v>192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>
      <c r="A130" s="76" t="s">
        <v>163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6.5">
      <c r="A131" s="91" t="s">
        <v>193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>
      <c r="A132" s="2" t="s">
        <v>156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>
      <c r="A133" s="76" t="s">
        <v>162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6.5">
      <c r="A134" s="91" t="s">
        <v>194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6.5">
      <c r="A135" s="91" t="s">
        <v>195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>
      <c r="A136" s="76" t="s">
        <v>164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>
      <c r="A137" s="76" t="s">
        <v>165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>
      <c r="A138" s="76" t="s">
        <v>185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6.5">
      <c r="A139" s="76" t="s">
        <v>196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6.5">
      <c r="A140" s="76" t="s">
        <v>197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>
      <c r="A141" s="76" t="s">
        <v>157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6.5">
      <c r="A142" s="91" t="s">
        <v>198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>
      <c r="A143" s="76" t="s">
        <v>166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6.5">
      <c r="A144" s="76" t="s">
        <v>199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6.5">
      <c r="A145" s="91" t="s">
        <v>200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>
      <c r="A146" s="76" t="s">
        <v>186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>
      <c r="A147" s="76" t="s">
        <v>173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>
      <c r="A148" s="76" t="s">
        <v>187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>
      <c r="A149" s="76" t="s">
        <v>188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6.5">
      <c r="A150" s="76" t="s">
        <v>190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6.5">
      <c r="A151" s="91" t="s">
        <v>191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>
      <c r="A152" s="76" t="s">
        <v>189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6.5">
      <c r="A153" s="76" t="s">
        <v>201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>
      <c r="A154" s="2" t="s">
        <v>158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>
      <c r="A155" s="76" t="s">
        <v>167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>
      <c r="A156" s="76" t="s">
        <v>159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>
      <c r="A157" s="76" t="s">
        <v>168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>
      <c r="A158" s="76" t="s">
        <v>169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>
      <c r="A159" s="76" t="s">
        <v>170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>
      <c r="A161" s="2" t="s">
        <v>160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>
      <c r="A163" s="2" t="s">
        <v>181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>
      <c r="A164" s="88" t="s">
        <v>174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>
      <c r="A165" s="88" t="s">
        <v>175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>
      <c r="A166" s="88" t="s">
        <v>176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>
      <c r="A167" s="88" t="s">
        <v>177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>
      <c r="A168" s="88" t="s">
        <v>178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>
      <c r="A169" s="88" t="s">
        <v>179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>
      <c r="A170" s="88" t="s">
        <v>180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</sheetData>
  <hyperlinks>
    <hyperlink ref="A164" r:id="rId1" display="http://www.census.gov/const/www/newresconstindex.html"/>
    <hyperlink ref="A165" r:id="rId2" display="http://www.census.gov/const/www/newressalesindex.html"/>
    <hyperlink ref="A166" r:id="rId3" display="http://www.realtor.org/rodesign.nsf/pages/homepage?opendocument"/>
    <hyperlink ref="A167" r:id="rId4" display="http://www.census.gov/ftp/pub/indicator/www/m3/index.htm"/>
    <hyperlink ref="A168" r:id="rId5" display="http://www.federalreserve.gov/releases/"/>
    <hyperlink ref="A169" r:id="rId6" display="http://www.census.gov/econ/www/retmenu.html"/>
    <hyperlink ref="A170" r:id="rId7" display="http://www.census.gov/foreign-trade/www/"/>
  </hyperlinks>
  <printOptions/>
  <pageMargins left="0.5" right="0.5" top="0.5" bottom="0.5" header="0.5" footer="0.5"/>
  <pageSetup orientation="landscape" paperSiz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ADNET</cp:lastModifiedBy>
  <dcterms:created xsi:type="dcterms:W3CDTF">2004-02-05T13:51:31Z</dcterms:created>
  <dcterms:modified xsi:type="dcterms:W3CDTF">2004-02-24T20:02:16Z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