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2120" windowHeight="8580" activeTab="0"/>
  </bookViews>
  <sheets>
    <sheet name="D-2" sheetId="1" r:id="rId1"/>
  </sheets>
  <definedNames/>
  <calcPr fullCalcOnLoad="1"/>
</workbook>
</file>

<file path=xl/sharedStrings.xml><?xml version="1.0" encoding="utf-8"?>
<sst xmlns="http://schemas.openxmlformats.org/spreadsheetml/2006/main" count="92" uniqueCount="62">
  <si>
    <t>Transit agencies</t>
  </si>
  <si>
    <t>Modes provided</t>
  </si>
  <si>
    <t>Urbanized area</t>
  </si>
  <si>
    <t>Average weekday unlinked trips (thousands)</t>
  </si>
  <si>
    <t>Annual unlinked passenger trips (thousands)</t>
  </si>
  <si>
    <t>Operating funds expended       ($ millions)</t>
  </si>
  <si>
    <t>Vehicles available for maximum service</t>
  </si>
  <si>
    <t>Houston</t>
  </si>
  <si>
    <t>Dallas-Fort Worth</t>
  </si>
  <si>
    <t xml:space="preserve">San Antonio </t>
  </si>
  <si>
    <t>Austin</t>
  </si>
  <si>
    <t>Corpus Christi</t>
  </si>
  <si>
    <t>Laredo</t>
  </si>
  <si>
    <t>Lubbock</t>
  </si>
  <si>
    <t>Beaumont</t>
  </si>
  <si>
    <t>Amarillo</t>
  </si>
  <si>
    <t>VPSI, Inc.</t>
  </si>
  <si>
    <t>Vanpool</t>
  </si>
  <si>
    <t>Waco</t>
  </si>
  <si>
    <t>Abilene</t>
  </si>
  <si>
    <t>Bus, demand responsive, light rail, commuter rail</t>
  </si>
  <si>
    <t>Bus, demand responsive</t>
  </si>
  <si>
    <t>Bus, demand responsive, vanpool</t>
  </si>
  <si>
    <t>Bus, demand responsive, commuter rail</t>
  </si>
  <si>
    <t>Bus, demand responsive, ferry boat, vanpool</t>
  </si>
  <si>
    <t>Table 4-3:  Urban Transit Agencies in Texas: 2000</t>
  </si>
  <si>
    <t>METRO</t>
  </si>
  <si>
    <t>DART</t>
  </si>
  <si>
    <t>CMTA</t>
  </si>
  <si>
    <t>SUN METRO</t>
  </si>
  <si>
    <t>The T</t>
  </si>
  <si>
    <t>Corpus Christi RTA</t>
  </si>
  <si>
    <t>BMT</t>
  </si>
  <si>
    <t>ACTS</t>
  </si>
  <si>
    <t>WTS</t>
  </si>
  <si>
    <r>
      <t>SOURCE</t>
    </r>
    <r>
      <rPr>
        <sz val="10"/>
        <rFont val="Futura Md BT"/>
        <family val="2"/>
      </rPr>
      <t>:  U.S. Department of Transportation, Federal Transit Administration, National Transit Database, available at http://www.ntdprogram.com/NTD/Profiles.nsf/ ProfileInformation?OpenForm&amp;2000&amp;All as of Dec. 6, 2001.</t>
    </r>
  </si>
  <si>
    <t>Capital funds expended   ($ millions)</t>
  </si>
  <si>
    <t>VIA</t>
  </si>
  <si>
    <t>El Paso</t>
  </si>
  <si>
    <t>The D</t>
  </si>
  <si>
    <t>Bryan-College Station</t>
  </si>
  <si>
    <t>LRGVDC</t>
  </si>
  <si>
    <t>McAllen-Edinburg-Mission</t>
  </si>
  <si>
    <t>City of San Angelo</t>
  </si>
  <si>
    <t>San Angelo</t>
  </si>
  <si>
    <t>PAT</t>
  </si>
  <si>
    <t>Port Arthur</t>
  </si>
  <si>
    <t>TCOG</t>
  </si>
  <si>
    <t>Sherman-Denison</t>
  </si>
  <si>
    <t>LINK</t>
  </si>
  <si>
    <t>Denton</t>
  </si>
  <si>
    <t>CONNECT</t>
  </si>
  <si>
    <t>Galveston</t>
  </si>
  <si>
    <t>City of Mesquite</t>
  </si>
  <si>
    <t>Demand responsive</t>
  </si>
  <si>
    <t>Grand Connection</t>
  </si>
  <si>
    <t>City Transit Management Co., Inc.</t>
  </si>
  <si>
    <t>Handitran Special Transit Division, City of Arlington</t>
  </si>
  <si>
    <r>
      <t>KEY:</t>
    </r>
    <r>
      <rPr>
        <sz val="10"/>
        <rFont val="Futura Md BT"/>
        <family val="2"/>
      </rPr>
      <t xml:space="preserve"> ACTS = Amarillo City Transit System; BMT = Beaumont Municipal Transit System; CMTA = Capital Metropolitan Transportation Authority; CONNECT = The Gulf Coast Center; Grand Connection = City of Grand Prairie Transportation Services Department; DART = Dallas Area Rapid Transit Authority; LINK = City of Denton Public Transportation Department; LRGVDC = Lower Rio Grande Valley Development Council; METRO = Metropolitan Transit Authority of Harris County; PAT = Port Arthur Transit; RTA = Regional Transportation Authority; SUN METRO = Mass Transit Department-City of El Paso; TCOG = Texoma Council of Governments; The D = Brazos Transit District; The T = Fort Worth Transportation Authority; VIA = VIA Metropolitan Transit; VPSI = Van Pool Services Incorporated; WTS = Waco Transit System.</t>
    </r>
  </si>
  <si>
    <t>Laredo Metro, Inc.</t>
  </si>
  <si>
    <t>First Transit, Inc.</t>
  </si>
  <si>
    <t>Abilene Transit System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</si>
</sst>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0"/>
    <numFmt numFmtId="172" formatCode="0.000"/>
    <numFmt numFmtId="173" formatCode="###0.00_)"/>
    <numFmt numFmtId="174" formatCode="General_W"/>
    <numFmt numFmtId="175" formatCode="0.00000"/>
    <numFmt numFmtId="176" formatCode="#,##0.000"/>
    <numFmt numFmtId="177" formatCode="#,##0.0000"/>
    <numFmt numFmtId="178" formatCode="#,##0.00000"/>
  </numFmts>
  <fonts count="8">
    <font>
      <sz val="12"/>
      <name val="Futura Md BT"/>
      <family val="0"/>
    </font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sz val="9"/>
      <name val="Helv"/>
      <family val="0"/>
    </font>
    <font>
      <b/>
      <sz val="10"/>
      <name val="Helv"/>
      <family val="0"/>
    </font>
    <font>
      <sz val="10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7" fillId="0" borderId="1" applyNumberFormat="0" applyFill="0">
      <alignment horizontal="right"/>
      <protection/>
    </xf>
    <xf numFmtId="0" fontId="6" fillId="0" borderId="1">
      <alignment horizontal="left"/>
      <protection/>
    </xf>
    <xf numFmtId="0" fontId="6" fillId="2" borderId="0">
      <alignment horizontal="centerContinuous" wrapText="1"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9" fontId="5" fillId="0" borderId="0">
      <alignment horizontal="left" vertical="center"/>
      <protection/>
    </xf>
  </cellStyleXfs>
  <cellXfs count="23">
    <xf numFmtId="0" fontId="0" fillId="0" borderId="0" xfId="0" applyAlignment="1">
      <alignment/>
    </xf>
    <xf numFmtId="0" fontId="2" fillId="0" borderId="0" xfId="22" applyFont="1">
      <alignment/>
      <protection/>
    </xf>
    <xf numFmtId="0" fontId="3" fillId="0" borderId="0" xfId="22" applyFont="1">
      <alignment/>
      <protection/>
    </xf>
    <xf numFmtId="0" fontId="3" fillId="0" borderId="2" xfId="22" applyFont="1" applyBorder="1">
      <alignment/>
      <protection/>
    </xf>
    <xf numFmtId="0" fontId="3" fillId="0" borderId="0" xfId="22" applyFont="1" applyBorder="1">
      <alignment/>
      <protection/>
    </xf>
    <xf numFmtId="0" fontId="4" fillId="0" borderId="3" xfId="22" applyFont="1" applyBorder="1" applyAlignment="1">
      <alignment horizontal="left" wrapText="1"/>
      <protection/>
    </xf>
    <xf numFmtId="0" fontId="3" fillId="0" borderId="0" xfId="22" applyFont="1" applyAlignment="1">
      <alignment vertical="top" wrapText="1"/>
      <protection/>
    </xf>
    <xf numFmtId="3" fontId="3" fillId="0" borderId="0" xfId="22" applyNumberFormat="1" applyFont="1" applyAlignment="1">
      <alignment vertical="top"/>
      <protection/>
    </xf>
    <xf numFmtId="0" fontId="3" fillId="0" borderId="0" xfId="22" applyFont="1" applyAlignment="1">
      <alignment vertical="top"/>
      <protection/>
    </xf>
    <xf numFmtId="0" fontId="3" fillId="0" borderId="3" xfId="22" applyFont="1" applyBorder="1" applyAlignment="1">
      <alignment vertical="top"/>
      <protection/>
    </xf>
    <xf numFmtId="0" fontId="3" fillId="0" borderId="0" xfId="22" applyFont="1" applyBorder="1" applyAlignment="1">
      <alignment vertical="top" wrapText="1"/>
      <protection/>
    </xf>
    <xf numFmtId="3" fontId="3" fillId="0" borderId="0" xfId="22" applyNumberFormat="1" applyFont="1" applyBorder="1" applyAlignment="1">
      <alignment vertical="top"/>
      <protection/>
    </xf>
    <xf numFmtId="0" fontId="3" fillId="0" borderId="0" xfId="22" applyFont="1" applyBorder="1" applyAlignment="1">
      <alignment vertical="top"/>
      <protection/>
    </xf>
    <xf numFmtId="0" fontId="3" fillId="0" borderId="0" xfId="22" applyFont="1" applyBorder="1" applyAlignment="1">
      <alignment horizontal="left" vertical="top" wrapText="1"/>
      <protection/>
    </xf>
    <xf numFmtId="0" fontId="3" fillId="0" borderId="3" xfId="22" applyFont="1" applyBorder="1" applyAlignment="1">
      <alignment horizontal="left" vertical="top" wrapText="1"/>
      <protection/>
    </xf>
    <xf numFmtId="164" fontId="3" fillId="0" borderId="0" xfId="22" applyNumberFormat="1" applyFont="1" applyAlignment="1">
      <alignment vertical="top"/>
      <protection/>
    </xf>
    <xf numFmtId="164" fontId="3" fillId="0" borderId="0" xfId="22" applyNumberFormat="1" applyFont="1" applyBorder="1" applyAlignment="1">
      <alignment vertical="top"/>
      <protection/>
    </xf>
    <xf numFmtId="1" fontId="3" fillId="0" borderId="0" xfId="22" applyNumberFormat="1" applyFont="1" applyBorder="1" applyAlignment="1">
      <alignment vertical="top"/>
      <protection/>
    </xf>
    <xf numFmtId="0" fontId="4" fillId="0" borderId="4" xfId="22" applyFont="1" applyBorder="1" applyAlignment="1">
      <alignment horizontal="center" wrapText="1"/>
      <protection/>
    </xf>
    <xf numFmtId="0" fontId="4" fillId="0" borderId="0" xfId="22" applyFont="1" applyBorder="1" applyAlignment="1">
      <alignment wrapText="1"/>
      <protection/>
    </xf>
    <xf numFmtId="0" fontId="3" fillId="0" borderId="0" xfId="22" applyFont="1" applyAlignment="1">
      <alignment wrapText="1"/>
      <protection/>
    </xf>
    <xf numFmtId="0" fontId="0" fillId="0" borderId="0" xfId="0" applyAlignment="1">
      <alignment/>
    </xf>
    <xf numFmtId="0" fontId="4" fillId="0" borderId="0" xfId="22" applyFont="1" applyAlignment="1">
      <alignment wrapText="1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Data" xfId="19"/>
    <cellStyle name="Hed Side" xfId="20"/>
    <cellStyle name="Hed Top" xfId="21"/>
    <cellStyle name="Normal_Transit California" xfId="22"/>
    <cellStyle name="Percent" xfId="23"/>
    <cellStyle name="State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4"/>
  <sheetViews>
    <sheetView tabSelected="1" workbookViewId="0" topLeftCell="A1">
      <selection activeCell="A1" sqref="A1"/>
    </sheetView>
  </sheetViews>
  <sheetFormatPr defaultColWidth="8.796875" defaultRowHeight="15"/>
  <cols>
    <col min="1" max="1" width="23.69921875" style="2" customWidth="1"/>
    <col min="2" max="2" width="35.8984375" style="2" customWidth="1"/>
    <col min="3" max="3" width="18" style="2" customWidth="1"/>
    <col min="4" max="4" width="8.19921875" style="2" customWidth="1"/>
    <col min="5" max="5" width="4" style="2" customWidth="1"/>
    <col min="6" max="6" width="5.69921875" style="2" customWidth="1"/>
    <col min="7" max="7" width="3.5" style="2" customWidth="1"/>
    <col min="8" max="8" width="6.19921875" style="2" customWidth="1"/>
    <col min="9" max="9" width="2.59765625" style="2" customWidth="1"/>
    <col min="10" max="10" width="5.69921875" style="2" customWidth="1"/>
    <col min="11" max="11" width="2.59765625" style="2" customWidth="1"/>
    <col min="12" max="12" width="6.296875" style="2" customWidth="1"/>
    <col min="13" max="13" width="3" style="2" customWidth="1"/>
    <col min="14" max="16384" width="6.3984375" style="2" customWidth="1"/>
  </cols>
  <sheetData>
    <row r="1" spans="1:3" ht="23.25" customHeight="1">
      <c r="A1" s="1" t="s">
        <v>25</v>
      </c>
      <c r="B1" s="1"/>
      <c r="C1" s="1"/>
    </row>
    <row r="2" spans="1:13" ht="13.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63.75" customHeight="1">
      <c r="A3" s="5" t="s">
        <v>0</v>
      </c>
      <c r="B3" s="5" t="s">
        <v>1</v>
      </c>
      <c r="C3" s="5" t="s">
        <v>2</v>
      </c>
      <c r="D3" s="18" t="s">
        <v>4</v>
      </c>
      <c r="E3" s="18"/>
      <c r="F3" s="18" t="s">
        <v>3</v>
      </c>
      <c r="G3" s="18"/>
      <c r="H3" s="18" t="s">
        <v>5</v>
      </c>
      <c r="I3" s="18"/>
      <c r="J3" s="18" t="s">
        <v>36</v>
      </c>
      <c r="K3" s="18"/>
      <c r="L3" s="18" t="s">
        <v>6</v>
      </c>
      <c r="M3" s="18"/>
    </row>
    <row r="4" spans="1:13" ht="19.5" customHeight="1">
      <c r="A4" s="6" t="s">
        <v>26</v>
      </c>
      <c r="B4" s="6" t="s">
        <v>21</v>
      </c>
      <c r="C4" s="6" t="s">
        <v>7</v>
      </c>
      <c r="D4" s="7">
        <f>(86736027+643098)/1000</f>
        <v>87379.125</v>
      </c>
      <c r="E4" s="7"/>
      <c r="F4" s="7">
        <f>(297681+2184)/1000</f>
        <v>299.865</v>
      </c>
      <c r="G4" s="7"/>
      <c r="H4" s="7">
        <f>326259235/1000000</f>
        <v>326.259235</v>
      </c>
      <c r="I4" s="7"/>
      <c r="J4" s="7">
        <f>191782370/1000000</f>
        <v>191.78237</v>
      </c>
      <c r="K4" s="7"/>
      <c r="L4" s="7">
        <f>1151+1015</f>
        <v>2166</v>
      </c>
      <c r="M4" s="8"/>
    </row>
    <row r="5" spans="1:14" ht="19.5" customHeight="1">
      <c r="A5" s="6" t="s">
        <v>27</v>
      </c>
      <c r="B5" s="6" t="s">
        <v>20</v>
      </c>
      <c r="C5" s="6" t="s">
        <v>8</v>
      </c>
      <c r="D5" s="7">
        <f>(45936185+11433508+667577+305575)/1000</f>
        <v>58342.845</v>
      </c>
      <c r="E5" s="7"/>
      <c r="F5" s="7">
        <f>(155693+37682+2369+1050)/1000</f>
        <v>196.794</v>
      </c>
      <c r="G5" s="7"/>
      <c r="H5" s="7">
        <f>290170409/1000000</f>
        <v>290.170409</v>
      </c>
      <c r="I5" s="7"/>
      <c r="J5" s="7">
        <f>362178444/1000000</f>
        <v>362.178444</v>
      </c>
      <c r="K5" s="7"/>
      <c r="L5" s="7">
        <v>840</v>
      </c>
      <c r="M5" s="8"/>
      <c r="N5" s="4"/>
    </row>
    <row r="6" spans="1:13" ht="19.5" customHeight="1">
      <c r="A6" s="6" t="s">
        <v>37</v>
      </c>
      <c r="B6" s="6" t="s">
        <v>21</v>
      </c>
      <c r="C6" s="6" t="s">
        <v>9</v>
      </c>
      <c r="D6" s="7">
        <f>(44415308+1016505)/1000</f>
        <v>45431.813</v>
      </c>
      <c r="E6" s="7"/>
      <c r="F6" s="7">
        <f>(141413+3630)/1000</f>
        <v>145.043</v>
      </c>
      <c r="G6" s="7"/>
      <c r="H6" s="7">
        <f>87886297/1000000</f>
        <v>87.886297</v>
      </c>
      <c r="I6" s="7"/>
      <c r="J6" s="7">
        <f>20615528/1000000</f>
        <v>20.615528</v>
      </c>
      <c r="K6" s="7"/>
      <c r="L6" s="7">
        <f>(503+328)</f>
        <v>831</v>
      </c>
      <c r="M6" s="8"/>
    </row>
    <row r="7" spans="1:13" ht="19.5" customHeight="1">
      <c r="A7" s="6" t="s">
        <v>28</v>
      </c>
      <c r="B7" s="6" t="s">
        <v>22</v>
      </c>
      <c r="C7" s="6" t="s">
        <v>10</v>
      </c>
      <c r="D7" s="7">
        <f>(37506289+377444+243957)/1000</f>
        <v>38127.69</v>
      </c>
      <c r="E7" s="7"/>
      <c r="F7" s="7">
        <f>(128411+1298+931)/1000</f>
        <v>130.64</v>
      </c>
      <c r="G7" s="7"/>
      <c r="H7" s="7">
        <f>88756286/1000000</f>
        <v>88.756286</v>
      </c>
      <c r="I7" s="7"/>
      <c r="J7" s="7">
        <f>36410741/1000000</f>
        <v>36.410741</v>
      </c>
      <c r="K7" s="7"/>
      <c r="L7" s="7">
        <f>459+105+130</f>
        <v>694</v>
      </c>
      <c r="M7" s="8"/>
    </row>
    <row r="8" spans="1:13" ht="19.5" customHeight="1">
      <c r="A8" s="6" t="s">
        <v>29</v>
      </c>
      <c r="B8" s="6" t="s">
        <v>21</v>
      </c>
      <c r="C8" s="6" t="s">
        <v>38</v>
      </c>
      <c r="D8" s="7">
        <f>(13574440+270628)/1000</f>
        <v>13845.068</v>
      </c>
      <c r="E8" s="7"/>
      <c r="F8" s="7">
        <f>(44172+967)/1000</f>
        <v>45.139</v>
      </c>
      <c r="G8" s="7"/>
      <c r="H8" s="7">
        <f>34096668/1000000</f>
        <v>34.096668</v>
      </c>
      <c r="I8" s="7"/>
      <c r="J8" s="7">
        <f>8823663/1000000</f>
        <v>8.823663</v>
      </c>
      <c r="K8" s="7"/>
      <c r="L8" s="7">
        <f>159+82</f>
        <v>241</v>
      </c>
      <c r="M8" s="8"/>
    </row>
    <row r="9" spans="1:13" ht="19.5" customHeight="1">
      <c r="A9" s="6" t="s">
        <v>60</v>
      </c>
      <c r="B9" s="6" t="s">
        <v>21</v>
      </c>
      <c r="C9" s="6" t="s">
        <v>7</v>
      </c>
      <c r="D9" s="7">
        <f>(11756853+514656)/1000</f>
        <v>12271.509</v>
      </c>
      <c r="E9" s="7"/>
      <c r="F9" s="7">
        <f>(36541+1722)/1000</f>
        <v>38.263</v>
      </c>
      <c r="G9" s="7"/>
      <c r="H9" s="7">
        <f>26278451/1000000</f>
        <v>26.278451</v>
      </c>
      <c r="I9" s="7"/>
      <c r="J9" s="7">
        <v>0</v>
      </c>
      <c r="K9" s="7"/>
      <c r="L9" s="7">
        <v>270</v>
      </c>
      <c r="M9" s="8"/>
    </row>
    <row r="10" spans="1:13" ht="19.5" customHeight="1">
      <c r="A10" s="6" t="s">
        <v>60</v>
      </c>
      <c r="B10" s="6" t="s">
        <v>21</v>
      </c>
      <c r="C10" s="6" t="s">
        <v>8</v>
      </c>
      <c r="D10" s="7">
        <f>(9178089+247680)/1000</f>
        <v>9425.769</v>
      </c>
      <c r="E10" s="7"/>
      <c r="F10" s="7">
        <f>(34623+908)/1000</f>
        <v>35.531</v>
      </c>
      <c r="G10" s="7"/>
      <c r="H10" s="7">
        <f>41084441/1000000</f>
        <v>41.084441</v>
      </c>
      <c r="I10" s="7"/>
      <c r="J10" s="7">
        <v>0</v>
      </c>
      <c r="K10" s="7"/>
      <c r="L10" s="7">
        <f>303+110</f>
        <v>413</v>
      </c>
      <c r="M10" s="8"/>
    </row>
    <row r="11" spans="1:13" ht="19.5" customHeight="1">
      <c r="A11" s="6" t="s">
        <v>30</v>
      </c>
      <c r="B11" s="6" t="s">
        <v>23</v>
      </c>
      <c r="C11" s="6" t="s">
        <v>8</v>
      </c>
      <c r="D11" s="7">
        <f>(5663808+343088+26986)/1000</f>
        <v>6033.882</v>
      </c>
      <c r="E11" s="7"/>
      <c r="F11" s="7">
        <f>(18681+1142+1860)/1000</f>
        <v>21.683</v>
      </c>
      <c r="G11" s="7"/>
      <c r="H11" s="7">
        <f>30507035/1000000</f>
        <v>30.507035</v>
      </c>
      <c r="I11" s="7"/>
      <c r="J11" s="7">
        <f>51311186/1000000</f>
        <v>51.311186</v>
      </c>
      <c r="K11" s="7"/>
      <c r="L11" s="7">
        <v>261</v>
      </c>
      <c r="M11" s="8"/>
    </row>
    <row r="12" spans="1:13" ht="19.5" customHeight="1">
      <c r="A12" s="6" t="s">
        <v>31</v>
      </c>
      <c r="B12" s="6" t="s">
        <v>24</v>
      </c>
      <c r="C12" s="6" t="s">
        <v>11</v>
      </c>
      <c r="D12" s="7">
        <f>(5579319+175550+36329+7507)/1000</f>
        <v>5798.705</v>
      </c>
      <c r="E12" s="7"/>
      <c r="F12" s="7">
        <f>(18722+640+276+29)/1000</f>
        <v>19.667</v>
      </c>
      <c r="G12" s="7"/>
      <c r="H12" s="7">
        <f>15861939/1000000</f>
        <v>15.861939</v>
      </c>
      <c r="I12" s="7"/>
      <c r="J12" s="7">
        <f>4971359/1000000</f>
        <v>4.971359</v>
      </c>
      <c r="K12" s="7"/>
      <c r="L12" s="7">
        <v>112</v>
      </c>
      <c r="M12" s="8"/>
    </row>
    <row r="13" spans="1:13" ht="19.5" customHeight="1">
      <c r="A13" s="6" t="s">
        <v>59</v>
      </c>
      <c r="B13" s="6" t="s">
        <v>21</v>
      </c>
      <c r="C13" s="6" t="s">
        <v>12</v>
      </c>
      <c r="D13" s="7">
        <f>(4777691+48077)/1000</f>
        <v>4825.768</v>
      </c>
      <c r="E13" s="7"/>
      <c r="F13" s="7">
        <f>(14531+165)/1000</f>
        <v>14.696</v>
      </c>
      <c r="G13" s="7"/>
      <c r="H13" s="7">
        <f>8626520/1000000</f>
        <v>8.62652</v>
      </c>
      <c r="I13" s="7"/>
      <c r="J13" s="15">
        <f>121749/1000000</f>
        <v>0.121749</v>
      </c>
      <c r="K13" s="7"/>
      <c r="L13" s="7">
        <v>65</v>
      </c>
      <c r="M13" s="8"/>
    </row>
    <row r="14" spans="1:13" ht="19.5" customHeight="1">
      <c r="A14" s="6" t="s">
        <v>56</v>
      </c>
      <c r="B14" s="6" t="s">
        <v>21</v>
      </c>
      <c r="C14" s="6" t="s">
        <v>13</v>
      </c>
      <c r="D14" s="7">
        <f>(3784113+66883)/1000</f>
        <v>3850.996</v>
      </c>
      <c r="E14" s="7"/>
      <c r="F14" s="7">
        <f>(27210+246)/1000</f>
        <v>27.456</v>
      </c>
      <c r="G14" s="7"/>
      <c r="H14" s="7">
        <f>4300964/1000000</f>
        <v>4.300964</v>
      </c>
      <c r="I14" s="7"/>
      <c r="J14" s="7">
        <f>4425456/1000000</f>
        <v>4.425456</v>
      </c>
      <c r="K14" s="7"/>
      <c r="L14" s="7">
        <v>80</v>
      </c>
      <c r="M14" s="8"/>
    </row>
    <row r="15" spans="1:13" ht="19.5" customHeight="1">
      <c r="A15" s="6" t="s">
        <v>32</v>
      </c>
      <c r="B15" s="6" t="s">
        <v>21</v>
      </c>
      <c r="C15" s="6" t="s">
        <v>14</v>
      </c>
      <c r="D15" s="7">
        <f>(1527944+23065)/1000</f>
        <v>1551.009</v>
      </c>
      <c r="E15" s="7"/>
      <c r="F15" s="7">
        <f>(5352+85)/1000</f>
        <v>5.437</v>
      </c>
      <c r="G15" s="7"/>
      <c r="H15" s="7">
        <f>2841850/1000000</f>
        <v>2.84185</v>
      </c>
      <c r="I15" s="7"/>
      <c r="J15" s="15">
        <f>669524/1000000</f>
        <v>0.669524</v>
      </c>
      <c r="K15" s="7"/>
      <c r="L15" s="7">
        <v>23</v>
      </c>
      <c r="M15" s="8"/>
    </row>
    <row r="16" spans="1:13" ht="19.5" customHeight="1">
      <c r="A16" s="6" t="s">
        <v>33</v>
      </c>
      <c r="B16" s="6" t="s">
        <v>21</v>
      </c>
      <c r="C16" s="6" t="s">
        <v>15</v>
      </c>
      <c r="D16" s="7">
        <f>(901346+27085)/1000</f>
        <v>928.431</v>
      </c>
      <c r="E16" s="7"/>
      <c r="F16" s="7">
        <f>(3426+95)/1000</f>
        <v>3.521</v>
      </c>
      <c r="G16" s="7"/>
      <c r="H16" s="7">
        <f>2334928/1000000</f>
        <v>2.334928</v>
      </c>
      <c r="I16" s="7"/>
      <c r="J16" s="7">
        <f>2555092/1000000</f>
        <v>2.555092</v>
      </c>
      <c r="K16" s="7"/>
      <c r="L16" s="7">
        <v>22</v>
      </c>
      <c r="M16" s="8"/>
    </row>
    <row r="17" spans="1:13" ht="19.5" customHeight="1">
      <c r="A17" s="6" t="s">
        <v>16</v>
      </c>
      <c r="B17" s="6" t="s">
        <v>17</v>
      </c>
      <c r="C17" s="6" t="s">
        <v>7</v>
      </c>
      <c r="D17" s="7">
        <f>821342/1000</f>
        <v>821.342</v>
      </c>
      <c r="E17" s="7"/>
      <c r="F17" s="7">
        <f>3221/1000</f>
        <v>3.221</v>
      </c>
      <c r="G17" s="7"/>
      <c r="H17" s="7">
        <f>1142498/1000000</f>
        <v>1.142498</v>
      </c>
      <c r="I17" s="7"/>
      <c r="J17" s="7">
        <v>0</v>
      </c>
      <c r="K17" s="7"/>
      <c r="L17" s="7">
        <v>180</v>
      </c>
      <c r="M17" s="8"/>
    </row>
    <row r="18" spans="1:13" ht="19.5" customHeight="1">
      <c r="A18" s="10" t="s">
        <v>34</v>
      </c>
      <c r="B18" s="10" t="s">
        <v>21</v>
      </c>
      <c r="C18" s="10" t="s">
        <v>18</v>
      </c>
      <c r="D18" s="11">
        <f>(680895+23687)/1000</f>
        <v>704.582</v>
      </c>
      <c r="E18" s="11"/>
      <c r="F18" s="11">
        <f>(2418+88)/1000</f>
        <v>2.506</v>
      </c>
      <c r="G18" s="11"/>
      <c r="H18" s="11">
        <f>1596417/1000000</f>
        <v>1.596417</v>
      </c>
      <c r="I18" s="11"/>
      <c r="J18" s="11">
        <f>1437506/1000000</f>
        <v>1.437506</v>
      </c>
      <c r="K18" s="11"/>
      <c r="L18" s="11">
        <v>25</v>
      </c>
      <c r="M18" s="12"/>
    </row>
    <row r="19" spans="1:13" ht="19.5" customHeight="1">
      <c r="A19" s="10" t="s">
        <v>61</v>
      </c>
      <c r="B19" s="10" t="s">
        <v>21</v>
      </c>
      <c r="C19" s="10" t="s">
        <v>19</v>
      </c>
      <c r="D19" s="11">
        <f>(436681+62049)/1000</f>
        <v>498.73</v>
      </c>
      <c r="E19" s="11"/>
      <c r="F19" s="11">
        <f>(1512+230)/1000</f>
        <v>1.742</v>
      </c>
      <c r="G19" s="11"/>
      <c r="H19" s="11">
        <f>1334158/1000000</f>
        <v>1.334158</v>
      </c>
      <c r="I19" s="11"/>
      <c r="J19" s="11">
        <f>1314579/1000000</f>
        <v>1.314579</v>
      </c>
      <c r="K19" s="11"/>
      <c r="L19" s="11">
        <v>28</v>
      </c>
      <c r="M19" s="12"/>
    </row>
    <row r="20" spans="1:13" ht="19.5" customHeight="1">
      <c r="A20" s="10" t="s">
        <v>16</v>
      </c>
      <c r="B20" s="10" t="s">
        <v>17</v>
      </c>
      <c r="C20" s="10" t="s">
        <v>8</v>
      </c>
      <c r="D20" s="11">
        <f>(413599)/1000</f>
        <v>413.599</v>
      </c>
      <c r="E20" s="11"/>
      <c r="F20" s="11">
        <f>1628/1000</f>
        <v>1.628</v>
      </c>
      <c r="G20" s="11"/>
      <c r="H20" s="16">
        <f>903381/1000000</f>
        <v>0.903381</v>
      </c>
      <c r="I20" s="11"/>
      <c r="J20" s="11">
        <v>0</v>
      </c>
      <c r="K20" s="11"/>
      <c r="L20" s="11">
        <v>132</v>
      </c>
      <c r="M20" s="12"/>
    </row>
    <row r="21" spans="1:37" ht="19.5" customHeight="1">
      <c r="A21" s="13" t="s">
        <v>39</v>
      </c>
      <c r="B21" s="13" t="s">
        <v>21</v>
      </c>
      <c r="C21" s="13" t="s">
        <v>40</v>
      </c>
      <c r="D21" s="12">
        <v>287</v>
      </c>
      <c r="E21" s="12"/>
      <c r="F21" s="12">
        <v>1</v>
      </c>
      <c r="G21" s="12"/>
      <c r="H21" s="12">
        <v>2</v>
      </c>
      <c r="I21" s="12"/>
      <c r="J21" s="17">
        <v>0</v>
      </c>
      <c r="K21" s="12"/>
      <c r="L21" s="12">
        <v>17</v>
      </c>
      <c r="M21" s="12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</row>
    <row r="22" spans="1:15" ht="19.5" customHeight="1">
      <c r="A22" s="13" t="s">
        <v>41</v>
      </c>
      <c r="B22" s="13" t="s">
        <v>21</v>
      </c>
      <c r="C22" s="13" t="s">
        <v>42</v>
      </c>
      <c r="D22" s="12">
        <v>267</v>
      </c>
      <c r="E22" s="12"/>
      <c r="F22" s="12">
        <v>0.9</v>
      </c>
      <c r="G22" s="12"/>
      <c r="H22" s="17">
        <v>1</v>
      </c>
      <c r="I22" s="12"/>
      <c r="J22" s="12">
        <v>2</v>
      </c>
      <c r="K22" s="12"/>
      <c r="L22" s="12">
        <v>16</v>
      </c>
      <c r="M22" s="12"/>
      <c r="N22" s="8"/>
      <c r="O22" s="8"/>
    </row>
    <row r="23" spans="1:15" ht="19.5" customHeight="1">
      <c r="A23" s="13" t="s">
        <v>43</v>
      </c>
      <c r="B23" s="13" t="s">
        <v>21</v>
      </c>
      <c r="C23" s="13" t="s">
        <v>44</v>
      </c>
      <c r="D23" s="12">
        <v>191</v>
      </c>
      <c r="E23" s="12"/>
      <c r="F23" s="12">
        <v>0.7</v>
      </c>
      <c r="G23" s="12"/>
      <c r="H23" s="12">
        <v>0.9</v>
      </c>
      <c r="I23" s="12"/>
      <c r="J23" s="12">
        <v>0.4</v>
      </c>
      <c r="K23" s="12"/>
      <c r="L23" s="12">
        <v>12</v>
      </c>
      <c r="M23" s="12"/>
      <c r="N23" s="8"/>
      <c r="O23" s="8"/>
    </row>
    <row r="24" spans="1:15" ht="19.5" customHeight="1">
      <c r="A24" s="13" t="s">
        <v>45</v>
      </c>
      <c r="B24" s="13" t="s">
        <v>21</v>
      </c>
      <c r="C24" s="13" t="s">
        <v>46</v>
      </c>
      <c r="D24" s="12">
        <v>178</v>
      </c>
      <c r="E24" s="12"/>
      <c r="F24" s="12">
        <v>0.7</v>
      </c>
      <c r="G24" s="12"/>
      <c r="H24" s="12">
        <v>1</v>
      </c>
      <c r="I24" s="12"/>
      <c r="J24" s="12">
        <v>0.1</v>
      </c>
      <c r="K24" s="12"/>
      <c r="L24" s="12">
        <v>16</v>
      </c>
      <c r="M24" s="12"/>
      <c r="N24" s="8"/>
      <c r="O24" s="8"/>
    </row>
    <row r="25" spans="1:15" ht="19.5" customHeight="1">
      <c r="A25" s="13" t="s">
        <v>47</v>
      </c>
      <c r="B25" s="13" t="s">
        <v>54</v>
      </c>
      <c r="C25" s="13" t="s">
        <v>48</v>
      </c>
      <c r="D25" s="12">
        <v>152</v>
      </c>
      <c r="E25" s="12"/>
      <c r="F25" s="12">
        <v>0.6</v>
      </c>
      <c r="G25" s="12"/>
      <c r="H25" s="12">
        <v>0.7</v>
      </c>
      <c r="I25" s="12"/>
      <c r="J25" s="12">
        <v>0.2</v>
      </c>
      <c r="K25" s="12"/>
      <c r="L25" s="12">
        <v>15</v>
      </c>
      <c r="M25" s="12"/>
      <c r="N25" s="8"/>
      <c r="O25" s="8"/>
    </row>
    <row r="26" spans="1:15" ht="19.5" customHeight="1">
      <c r="A26" s="13" t="s">
        <v>49</v>
      </c>
      <c r="B26" s="13" t="s">
        <v>21</v>
      </c>
      <c r="C26" s="13" t="s">
        <v>50</v>
      </c>
      <c r="D26" s="12">
        <v>114</v>
      </c>
      <c r="E26" s="12"/>
      <c r="F26" s="12">
        <v>0.4</v>
      </c>
      <c r="G26" s="12"/>
      <c r="H26" s="12">
        <v>0.7</v>
      </c>
      <c r="I26" s="12"/>
      <c r="J26" s="12">
        <v>0</v>
      </c>
      <c r="K26" s="12"/>
      <c r="L26" s="12">
        <v>18</v>
      </c>
      <c r="M26" s="12"/>
      <c r="N26" s="8"/>
      <c r="O26" s="8"/>
    </row>
    <row r="27" spans="1:15" ht="29.25" customHeight="1">
      <c r="A27" s="13" t="s">
        <v>57</v>
      </c>
      <c r="B27" s="13" t="s">
        <v>54</v>
      </c>
      <c r="C27" s="13" t="s">
        <v>8</v>
      </c>
      <c r="D27" s="12">
        <v>102</v>
      </c>
      <c r="E27" s="12"/>
      <c r="F27" s="12">
        <v>0.4</v>
      </c>
      <c r="G27" s="12"/>
      <c r="H27" s="12">
        <v>2</v>
      </c>
      <c r="I27" s="12"/>
      <c r="J27" s="12">
        <v>0.6</v>
      </c>
      <c r="K27" s="12"/>
      <c r="L27" s="12">
        <v>23</v>
      </c>
      <c r="M27" s="12"/>
      <c r="N27" s="8"/>
      <c r="O27" s="8"/>
    </row>
    <row r="28" spans="1:15" ht="19.5" customHeight="1">
      <c r="A28" s="13" t="s">
        <v>51</v>
      </c>
      <c r="B28" s="13" t="s">
        <v>54</v>
      </c>
      <c r="C28" s="13" t="s">
        <v>52</v>
      </c>
      <c r="D28" s="12">
        <v>93</v>
      </c>
      <c r="E28" s="12"/>
      <c r="F28" s="12">
        <v>0.4</v>
      </c>
      <c r="G28" s="12"/>
      <c r="H28" s="12">
        <v>2</v>
      </c>
      <c r="I28" s="12"/>
      <c r="J28" s="12">
        <v>0.2</v>
      </c>
      <c r="K28" s="12"/>
      <c r="L28" s="12">
        <v>34</v>
      </c>
      <c r="M28" s="12"/>
      <c r="N28" s="8"/>
      <c r="O28" s="8"/>
    </row>
    <row r="29" spans="1:15" ht="19.5" customHeight="1">
      <c r="A29" s="13" t="s">
        <v>53</v>
      </c>
      <c r="B29" s="13" t="s">
        <v>54</v>
      </c>
      <c r="C29" s="13" t="s">
        <v>8</v>
      </c>
      <c r="D29" s="12">
        <v>36</v>
      </c>
      <c r="E29" s="12"/>
      <c r="F29" s="12">
        <v>0.1</v>
      </c>
      <c r="G29" s="12"/>
      <c r="H29" s="12">
        <v>0.4</v>
      </c>
      <c r="I29" s="12"/>
      <c r="J29" s="12">
        <v>0.1</v>
      </c>
      <c r="K29" s="12"/>
      <c r="L29" s="12">
        <v>17</v>
      </c>
      <c r="M29" s="12"/>
      <c r="N29" s="8"/>
      <c r="O29" s="8"/>
    </row>
    <row r="30" spans="1:15" ht="19.5" customHeight="1">
      <c r="A30" s="14" t="s">
        <v>55</v>
      </c>
      <c r="B30" s="14" t="s">
        <v>54</v>
      </c>
      <c r="C30" s="14" t="s">
        <v>8</v>
      </c>
      <c r="D30" s="9">
        <v>22</v>
      </c>
      <c r="E30" s="9"/>
      <c r="F30" s="9">
        <v>0.01</v>
      </c>
      <c r="G30" s="9"/>
      <c r="H30" s="9">
        <v>0.3</v>
      </c>
      <c r="I30" s="9"/>
      <c r="J30" s="9">
        <v>0.06</v>
      </c>
      <c r="K30" s="9"/>
      <c r="L30" s="9">
        <v>11</v>
      </c>
      <c r="M30" s="9"/>
      <c r="N30" s="8"/>
      <c r="O30" s="8"/>
    </row>
    <row r="31" spans="1:15" ht="9" customHeight="1">
      <c r="A31" s="13"/>
      <c r="B31" s="13"/>
      <c r="C31" s="13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8"/>
      <c r="O31" s="8"/>
    </row>
    <row r="32" spans="1:13" ht="66" customHeight="1">
      <c r="A32" s="19" t="s">
        <v>58</v>
      </c>
      <c r="B32" s="19"/>
      <c r="C32" s="20"/>
      <c r="D32" s="20"/>
      <c r="E32" s="20"/>
      <c r="F32" s="20"/>
      <c r="G32" s="20"/>
      <c r="H32" s="20"/>
      <c r="I32" s="21"/>
      <c r="J32" s="21"/>
      <c r="K32" s="21"/>
      <c r="L32" s="21"/>
      <c r="M32" s="21"/>
    </row>
    <row r="33" ht="6.75" customHeight="1"/>
    <row r="34" spans="1:13" ht="27" customHeight="1">
      <c r="A34" s="22" t="s">
        <v>35</v>
      </c>
      <c r="B34" s="22"/>
      <c r="C34" s="20"/>
      <c r="D34" s="20"/>
      <c r="E34" s="20"/>
      <c r="F34" s="20"/>
      <c r="G34" s="20"/>
      <c r="H34" s="20"/>
      <c r="I34" s="21"/>
      <c r="J34" s="21"/>
      <c r="K34" s="21"/>
      <c r="L34" s="21"/>
      <c r="M34" s="21"/>
    </row>
    <row r="35" ht="25.5" customHeight="1"/>
  </sheetData>
  <mergeCells count="7">
    <mergeCell ref="D3:E3"/>
    <mergeCell ref="A32:M32"/>
    <mergeCell ref="A34:M34"/>
    <mergeCell ref="L3:M3"/>
    <mergeCell ref="J3:K3"/>
    <mergeCell ref="H3:I3"/>
    <mergeCell ref="F3:G3"/>
  </mergeCells>
  <printOptions horizontalCentered="1"/>
  <pageMargins left="0.5" right="0.5" top="1" bottom="1" header="0.5" footer="0.5"/>
  <pageSetup fitToHeight="1" fitToWidth="1" horizontalDpi="1200" verticalDpi="1200" orientation="landscape" scale="65" r:id="rId1"/>
  <headerFooter alignWithMargins="0">
    <oddHeader xml:space="preserve">&amp;L&amp;18 </oddHeader>
    <oddFooter xml:space="preserve">&amp;L&amp;18 &amp;C&amp;18 &amp;R&amp;18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 </dc:creator>
  <cp:keywords/>
  <dc:description/>
  <cp:lastModifiedBy>ltardia</cp:lastModifiedBy>
  <cp:lastPrinted>2002-08-08T19:36:07Z</cp:lastPrinted>
  <dcterms:created xsi:type="dcterms:W3CDTF">2001-12-27T18:56:10Z</dcterms:created>
  <dcterms:modified xsi:type="dcterms:W3CDTF">2004-10-19T15:39:38Z</dcterms:modified>
  <cp:category/>
  <cp:version/>
  <cp:contentType/>
  <cp:contentStatus/>
</cp:coreProperties>
</file>