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9720" windowHeight="6348" activeTab="0"/>
  </bookViews>
  <sheets>
    <sheet name="4-0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'4-06'!$A$1:$U$74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<sst xmlns="http://schemas.openxmlformats.org/spreadsheetml/2006/main" count="124" uniqueCount="94">
  <si>
    <t>Air</t>
  </si>
  <si>
    <t>N</t>
  </si>
  <si>
    <t>Highway</t>
  </si>
  <si>
    <t xml:space="preserve">Gasoline, diesel and other fuels </t>
  </si>
  <si>
    <t>Electricity</t>
  </si>
  <si>
    <t>Motor fuel</t>
  </si>
  <si>
    <t>&lt;1</t>
  </si>
  <si>
    <t>Amtrak</t>
  </si>
  <si>
    <t xml:space="preserve">Water </t>
  </si>
  <si>
    <t>Residual fuel oil</t>
  </si>
  <si>
    <t xml:space="preserve">Gasoline </t>
  </si>
  <si>
    <t>Pipeline</t>
  </si>
  <si>
    <t>Natural gas</t>
  </si>
  <si>
    <t>General aviation:</t>
  </si>
  <si>
    <t>Highway:</t>
  </si>
  <si>
    <t>Transit:</t>
  </si>
  <si>
    <t>Rail:</t>
  </si>
  <si>
    <t>Amtrak:</t>
  </si>
  <si>
    <t>Water:</t>
  </si>
  <si>
    <t>Gasoline:</t>
  </si>
  <si>
    <t>Pipeline:</t>
  </si>
  <si>
    <t>Rail, Class I (in freight service)</t>
  </si>
  <si>
    <t>Air:</t>
  </si>
  <si>
    <t>Certificated air carriers:</t>
  </si>
  <si>
    <t>e</t>
  </si>
  <si>
    <r>
      <t>Certificated carriers</t>
    </r>
    <r>
      <rPr>
        <vertAlign val="superscript"/>
        <sz val="11"/>
        <rFont val="Arial Narrow"/>
        <family val="2"/>
      </rPr>
      <t>a</t>
    </r>
  </si>
  <si>
    <r>
      <t>General aviation</t>
    </r>
    <r>
      <rPr>
        <vertAlign val="superscript"/>
        <sz val="11"/>
        <rFont val="Arial Narrow"/>
        <family val="2"/>
      </rPr>
      <t>b</t>
    </r>
  </si>
  <si>
    <r>
      <t>Transit</t>
    </r>
    <r>
      <rPr>
        <b/>
        <vertAlign val="superscript"/>
        <sz val="11"/>
        <rFont val="Arial Narrow"/>
        <family val="2"/>
      </rPr>
      <t>c</t>
    </r>
  </si>
  <si>
    <t xml:space="preserve">1998 </t>
  </si>
  <si>
    <r>
      <t xml:space="preserve">a </t>
    </r>
    <r>
      <rPr>
        <sz val="9"/>
        <rFont val="Arial"/>
        <family val="2"/>
      </rPr>
      <t xml:space="preserve"> Domestic operations only.</t>
    </r>
  </si>
  <si>
    <r>
      <t>b</t>
    </r>
    <r>
      <rPr>
        <sz val="9"/>
        <rFont val="Arial"/>
        <family val="2"/>
      </rPr>
      <t xml:space="preserve">  Includes fuel used in air taxi operations, but not commuter operations.</t>
    </r>
  </si>
  <si>
    <r>
      <t>e</t>
    </r>
    <r>
      <rPr>
        <sz val="9"/>
        <rFont val="Arial"/>
        <family val="2"/>
      </rPr>
      <t xml:space="preserve">  Included in other single-unit 2-axle 6-tire or more truck category.</t>
    </r>
  </si>
  <si>
    <r>
      <t>Natural gas = 1,031 Btu/ft</t>
    </r>
    <r>
      <rPr>
        <vertAlign val="superscript"/>
        <sz val="9"/>
        <rFont val="Arial"/>
        <family val="2"/>
      </rPr>
      <t>3</t>
    </r>
  </si>
  <si>
    <r>
      <t xml:space="preserve">1960-80: American Petroleum Institute, </t>
    </r>
    <r>
      <rPr>
        <i/>
        <sz val="9"/>
        <rFont val="Arial"/>
        <family val="2"/>
      </rPr>
      <t xml:space="preserve">Basic Petroleum Data Book </t>
    </r>
    <r>
      <rPr>
        <sz val="9"/>
        <rFont val="Arial"/>
        <family val="2"/>
      </rPr>
      <t>(Washington, DC: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Annual issues), tables 10, 10a, 12, and 12a.</t>
    </r>
  </si>
  <si>
    <r>
      <t xml:space="preserve">c  </t>
    </r>
    <r>
      <rPr>
        <sz val="9"/>
        <rFont val="Arial"/>
        <family val="2"/>
      </rPr>
      <t>Prior to 1984, excludes commuter rail, automated guideway, ferryboat, demand responsive vehicles, and most rural and smaller systems.</t>
    </r>
  </si>
  <si>
    <t>Electricity  1kWh = 3,412 Btu, negating electrical system losses. To include approximate electrical system losses, multiply this conversion factor by 3.</t>
  </si>
  <si>
    <t>2001</t>
  </si>
  <si>
    <t>1975-2001: Amtrak, Energy Management Department, personal communication.</t>
  </si>
  <si>
    <t>The following conversion rates were used:</t>
  </si>
  <si>
    <t>NOTES</t>
  </si>
  <si>
    <t>SOURCES</t>
  </si>
  <si>
    <t>Table 4-6:  Energy Consumption by Mode of Transportation (Trillion Btu)</t>
  </si>
  <si>
    <t>Distillate / diesel fuel</t>
  </si>
  <si>
    <t>Distillate / diesel fuel oil</t>
  </si>
  <si>
    <t>Jet fuel = 135,000 Btu/gallon</t>
  </si>
  <si>
    <t>Aviation gasoline = 120,200 Btu/gallon</t>
  </si>
  <si>
    <t>Automotive gasoline = 125,000 Btu/gallon</t>
  </si>
  <si>
    <t>Diesel motor fuel = 138,700 Btu/gallon</t>
  </si>
  <si>
    <t>Compressed natural gas = 138,700 Btu/gallon</t>
  </si>
  <si>
    <t>Distillate fuel = 138,700 Btu/gallon</t>
  </si>
  <si>
    <t>Residual fuel = 149,700 Btu/gallon</t>
  </si>
  <si>
    <t>Electricity / motor fuel / compressed natural gas:</t>
  </si>
  <si>
    <t>Residual and distillate / diesel fuel oil:</t>
  </si>
  <si>
    <r>
      <t xml:space="preserve">d </t>
    </r>
    <r>
      <rPr>
        <sz val="9"/>
        <rFont val="Arial"/>
        <family val="2"/>
      </rPr>
      <t xml:space="preserve"> Gasoline and all other nondiesel fuels such as liquefied natural gas, methanol, and propane, except compressed natural gas.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</si>
  <si>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</si>
  <si>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</si>
  <si>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</si>
  <si>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</si>
  <si>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</si>
  <si>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</si>
  <si>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</si>
  <si>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</si>
  <si>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</si>
  <si>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</si>
  <si>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</si>
  <si>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</si>
  <si>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</si>
  <si>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</si>
  <si>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1999</t>
  </si>
  <si>
    <t>2000</t>
  </si>
  <si>
    <t>Jet fuel</t>
  </si>
  <si>
    <t>Aviation gasoline</t>
  </si>
  <si>
    <t>Passenger car and motorcycle</t>
  </si>
  <si>
    <t>Other 2-axle 4-tire vehicle</t>
  </si>
  <si>
    <t>Single-unit 2-axle 6-tire or more truck</t>
  </si>
  <si>
    <t>Combination truck</t>
  </si>
  <si>
    <t>Bus</t>
  </si>
  <si>
    <t xml:space="preserve">Diesel </t>
  </si>
  <si>
    <r>
      <t>Gasoline and other nondiesel fuels</t>
    </r>
    <r>
      <rPr>
        <vertAlign val="superscript"/>
        <sz val="11"/>
        <rFont val="Arial Narrow"/>
        <family val="2"/>
      </rPr>
      <t>d</t>
    </r>
  </si>
  <si>
    <t>Compressed natural gas</t>
  </si>
  <si>
    <r>
      <t xml:space="preserve">1960-70: U.S. Department of Transportation, Federal Aviation Administration, </t>
    </r>
    <r>
      <rPr>
        <i/>
        <sz val="9"/>
        <rFont val="Arial"/>
        <family val="2"/>
      </rPr>
      <t>FAA Statistical Handbook of Aviation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- 1972 edition </t>
    </r>
    <r>
      <rPr>
        <sz val="9"/>
        <rFont val="Arial"/>
        <family val="2"/>
      </rPr>
      <t>(Washington, DC:  1973), table 9.12.</t>
    </r>
  </si>
  <si>
    <r>
      <t xml:space="preserve">1975-93: Ibid., </t>
    </r>
    <r>
      <rPr>
        <i/>
        <sz val="9"/>
        <rFont val="Arial"/>
        <family val="2"/>
      </rPr>
      <t>General Aviation and Air Taxi Activity Survey</t>
    </r>
    <r>
      <rPr>
        <sz val="9"/>
        <rFont val="Arial"/>
        <family val="2"/>
      </rPr>
      <t xml:space="preserve"> (Washington, DC:  Annual issues), table 5.1, and similar tables in earlier editions.</t>
    </r>
  </si>
  <si>
    <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Statistics, Summary to 1995, </t>
    </r>
    <r>
      <rPr>
        <sz val="9"/>
        <rFont val="Arial"/>
        <family val="2"/>
      </rPr>
      <t>FHWA-PL-97-009 (Washington, DC:  July 1997), table VM-201A. (Revised data obtained from Internet site http://www.fhwa.dot.gov/ohim/ohimstat.htm as of August 2001).</t>
    </r>
  </si>
  <si>
    <t>2002</t>
  </si>
  <si>
    <t>U</t>
  </si>
  <si>
    <r>
      <t>KEY:</t>
    </r>
    <r>
      <rPr>
        <sz val="9"/>
        <rFont val="Arial"/>
        <family val="2"/>
      </rPr>
      <t xml:space="preserve"> Btu = British thermal unit; N = data do not exist; P = preliminary; R = revised; U = data are unavailable.</t>
    </r>
  </si>
  <si>
    <t>1960-2003:  U.S. Department of Transportation, Bureau of Transportation Statistics, Office of Airline Information, Internet site http://www.bts.gov/oai/fuel/fuelyearly.html as of Dec. 23, 2004.</t>
  </si>
  <si>
    <r>
      <t xml:space="preserve">1995-2003: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</si>
  <si>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1970-2003: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issues), table MF-24 and similar tables in earlier editions.</t>
    </r>
  </si>
  <si>
    <r>
      <t xml:space="preserve">1960-2003: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2004), p. 40.</t>
    </r>
  </si>
  <si>
    <r>
      <t xml:space="preserve">1994-2003: Ibid., </t>
    </r>
    <r>
      <rPr>
        <i/>
        <sz val="9"/>
        <rFont val="Arial"/>
        <family val="2"/>
      </rPr>
      <t xml:space="preserve">FAA Aerospace Forecasts Fiscal Years 2004-2015 </t>
    </r>
    <r>
      <rPr>
        <sz val="9"/>
        <rFont val="Arial"/>
        <family val="2"/>
      </rPr>
      <t>(Washington, DC: Mar. 2004), table 34 and similar tables in earlier editions.</t>
    </r>
  </si>
  <si>
    <r>
      <t xml:space="preserve">1960-2003: U.S. Department of Energy, </t>
    </r>
    <r>
      <rPr>
        <i/>
        <sz val="9"/>
        <rFont val="Arial"/>
        <family val="2"/>
      </rPr>
      <t>Natural Gas Annual 2003,</t>
    </r>
    <r>
      <rPr>
        <sz val="9"/>
        <rFont val="Arial"/>
        <family val="2"/>
      </rPr>
      <t xml:space="preserve"> DOE/EIA-0131(03) (Washington, DC: Dec. 2004), table 15 and similar tables in earlier editions. </t>
    </r>
  </si>
  <si>
    <r>
      <t xml:space="preserve">1985-2003: U.S. Department of Energy, Energy Information Administration, </t>
    </r>
    <r>
      <rPr>
        <i/>
        <sz val="9"/>
        <rFont val="Arial"/>
        <family val="2"/>
      </rPr>
      <t xml:space="preserve">Fuel Oil and Kerosene Sales </t>
    </r>
    <r>
      <rPr>
        <sz val="9"/>
        <rFont val="Arial"/>
        <family val="2"/>
      </rPr>
      <t>(Washington, DC: Annual issues), tables 2, 4, and similar tables in earlier editions.</t>
    </r>
  </si>
  <si>
    <r>
      <t xml:space="preserve">1960-2002: American Public Transportation Association, </t>
    </r>
    <r>
      <rPr>
        <i/>
        <sz val="9"/>
        <rFont val="Arial"/>
        <family val="2"/>
      </rPr>
      <t xml:space="preserve">2004 Public Transportation Fact Book </t>
    </r>
    <r>
      <rPr>
        <sz val="9"/>
        <rFont val="Arial"/>
        <family val="2"/>
      </rPr>
      <t xml:space="preserve">(Washington, DC: March 2004), tables 33, 34, 35, and similar tables in earlier editions.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</si>
</sst>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&quot;(R)&quot;\ #,##0;&quot;(R) -&quot;#,##0;&quot;(R) &quot;\ 0"/>
    <numFmt numFmtId="175" formatCode="&quot;(P)&quot;\ #,##0;&quot;(P) -&quot;#,##0;&quot;(P) &quot;\ 0"/>
    <numFmt numFmtId="176" formatCode="&quot;(R)&quot;\ #,##0.0;&quot;(R) -&quot;#,##0.0;&quot;(R) &quot;\ 0.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11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40" applyFont="1" applyFill="1" applyBorder="1" applyAlignment="1">
      <alignment horizontal="center" wrapText="1"/>
      <protection/>
    </xf>
    <xf numFmtId="1" fontId="1" fillId="0" borderId="0" xfId="40" applyNumberFormat="1" applyFont="1" applyFill="1" applyBorder="1" applyAlignment="1">
      <alignment horizontal="center" wrapText="1"/>
      <protection/>
    </xf>
    <xf numFmtId="3" fontId="19" fillId="0" borderId="0" xfId="23" applyNumberFormat="1" applyFont="1" applyFill="1" applyBorder="1" applyAlignment="1">
      <alignment horizontal="right"/>
      <protection/>
    </xf>
    <xf numFmtId="3" fontId="19" fillId="0" borderId="0" xfId="23" applyFont="1" applyFill="1" applyBorder="1" applyAlignment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20" fillId="0" borderId="0" xfId="23" applyNumberFormat="1" applyFont="1" applyFill="1" applyBorder="1" applyAlignment="1">
      <alignment horizontal="left"/>
      <protection/>
    </xf>
    <xf numFmtId="165" fontId="0" fillId="0" borderId="0" xfId="27" applyNumberFormat="1" applyFont="1" applyFill="1" applyBorder="1" applyAlignment="1">
      <alignment horizontal="right"/>
      <protection/>
    </xf>
    <xf numFmtId="3" fontId="21" fillId="0" borderId="0" xfId="23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22" fillId="0" borderId="0" xfId="39" applyFont="1" applyFill="1" applyBorder="1" applyAlignment="1">
      <alignment horizontal="left"/>
      <protection/>
    </xf>
    <xf numFmtId="3" fontId="23" fillId="0" borderId="0" xfId="23" applyNumberFormat="1" applyFont="1" applyFill="1" applyBorder="1" applyAlignment="1">
      <alignment horizontal="right"/>
      <protection/>
    </xf>
    <xf numFmtId="3" fontId="23" fillId="0" borderId="0" xfId="51" applyNumberFormat="1" applyFont="1" applyFill="1" applyBorder="1" applyAlignment="1">
      <alignment horizontal="right"/>
      <protection/>
    </xf>
    <xf numFmtId="3" fontId="23" fillId="0" borderId="0" xfId="23" applyFont="1" applyFill="1" applyBorder="1" applyAlignment="1">
      <alignment horizontal="right"/>
      <protection/>
    </xf>
    <xf numFmtId="0" fontId="23" fillId="0" borderId="0" xfId="37" applyFont="1" applyFill="1" applyBorder="1" applyAlignment="1">
      <alignment horizontal="left"/>
      <protection/>
    </xf>
    <xf numFmtId="0" fontId="23" fillId="0" borderId="0" xfId="0" applyFont="1" applyFill="1" applyAlignment="1">
      <alignment/>
    </xf>
    <xf numFmtId="0" fontId="23" fillId="0" borderId="0" xfId="39" applyFont="1" applyFill="1" applyBorder="1" applyAlignment="1">
      <alignment horizontal="left"/>
      <protection/>
    </xf>
    <xf numFmtId="0" fontId="23" fillId="0" borderId="6" xfId="39" applyFont="1" applyFill="1" applyBorder="1" applyAlignment="1">
      <alignment horizontal="left"/>
      <protection/>
    </xf>
    <xf numFmtId="3" fontId="23" fillId="0" borderId="6" xfId="23" applyNumberFormat="1" applyFont="1" applyFill="1" applyBorder="1" applyAlignment="1">
      <alignment horizontal="right"/>
      <protection/>
    </xf>
    <xf numFmtId="3" fontId="23" fillId="0" borderId="6" xfId="51" applyNumberFormat="1" applyFont="1" applyFill="1" applyBorder="1" applyAlignment="1">
      <alignment horizontal="right"/>
      <protection/>
    </xf>
    <xf numFmtId="3" fontId="23" fillId="0" borderId="6" xfId="23" applyFont="1" applyFill="1" applyBorder="1" applyAlignment="1">
      <alignment horizontal="right"/>
      <protection/>
    </xf>
    <xf numFmtId="3" fontId="23" fillId="0" borderId="0" xfId="23" applyNumberFormat="1" applyFont="1" applyFill="1" applyBorder="1" applyAlignment="1">
      <alignment horizontal="right" vertical="top"/>
      <protection/>
    </xf>
    <xf numFmtId="0" fontId="21" fillId="0" borderId="0" xfId="49" applyFont="1" applyFill="1" applyAlignment="1">
      <alignment horizontal="left"/>
      <protection/>
    </xf>
    <xf numFmtId="3" fontId="21" fillId="0" borderId="0" xfId="23" applyNumberFormat="1" applyFont="1" applyFill="1" applyBorder="1" applyAlignment="1">
      <alignment horizontal="left"/>
      <protection/>
    </xf>
    <xf numFmtId="0" fontId="21" fillId="0" borderId="0" xfId="0" applyFont="1" applyFill="1" applyAlignment="1">
      <alignment horizontal="left"/>
    </xf>
    <xf numFmtId="3" fontId="21" fillId="0" borderId="0" xfId="23" applyFont="1" applyFill="1" applyBorder="1" applyAlignment="1">
      <alignment horizontal="left"/>
      <protection/>
    </xf>
    <xf numFmtId="0" fontId="26" fillId="0" borderId="0" xfId="49" applyFont="1" applyFill="1" applyAlignment="1">
      <alignment horizontal="left"/>
      <protection/>
    </xf>
    <xf numFmtId="0" fontId="21" fillId="0" borderId="0" xfId="49" applyFont="1" applyFill="1" applyBorder="1" applyAlignment="1">
      <alignment horizontal="left"/>
      <protection/>
    </xf>
    <xf numFmtId="49" fontId="21" fillId="0" borderId="0" xfId="0" applyNumberFormat="1" applyFont="1" applyFill="1" applyAlignment="1">
      <alignment horizontal="left"/>
    </xf>
    <xf numFmtId="0" fontId="26" fillId="0" borderId="0" xfId="49" applyFont="1" applyFill="1" applyBorder="1" applyAlignment="1">
      <alignment horizontal="left"/>
      <protection/>
    </xf>
    <xf numFmtId="0" fontId="26" fillId="0" borderId="0" xfId="0" applyFont="1" applyFill="1" applyAlignment="1">
      <alignment horizontal="left"/>
    </xf>
    <xf numFmtId="0" fontId="27" fillId="0" borderId="0" xfId="49" applyFont="1" applyFill="1" applyAlignment="1">
      <alignment horizontal="left"/>
      <protection/>
    </xf>
    <xf numFmtId="0" fontId="27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3" fontId="29" fillId="0" borderId="0" xfId="23" applyNumberFormat="1" applyFont="1" applyFill="1" applyBorder="1" applyAlignment="1">
      <alignment horizontal="right"/>
      <protection/>
    </xf>
    <xf numFmtId="3" fontId="29" fillId="0" borderId="0" xfId="23" applyFont="1" applyFill="1" applyBorder="1" applyAlignment="1">
      <alignment horizontal="right"/>
      <protection/>
    </xf>
    <xf numFmtId="3" fontId="21" fillId="0" borderId="0" xfId="23" applyNumberFormat="1" applyFont="1" applyFill="1" applyBorder="1" applyAlignment="1">
      <alignment horizontal="right"/>
      <protection/>
    </xf>
    <xf numFmtId="3" fontId="21" fillId="0" borderId="0" xfId="27" applyNumberFormat="1" applyFont="1" applyFill="1" applyBorder="1" applyAlignment="1">
      <alignment horizontal="right"/>
      <protection/>
    </xf>
    <xf numFmtId="3" fontId="21" fillId="0" borderId="0" xfId="54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2" fillId="0" borderId="3" xfId="40" applyFont="1" applyFill="1" applyBorder="1" applyAlignment="1">
      <alignment horizontal="center" wrapText="1"/>
      <protection/>
    </xf>
    <xf numFmtId="0" fontId="18" fillId="0" borderId="0" xfId="40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23" fillId="0" borderId="0" xfId="37" applyFont="1" applyFill="1" applyBorder="1" applyAlignment="1">
      <alignment horizontal="left" indent="1"/>
      <protection/>
    </xf>
    <xf numFmtId="0" fontId="23" fillId="0" borderId="0" xfId="37" applyFont="1" applyFill="1" applyBorder="1" applyAlignment="1">
      <alignment horizontal="left" vertical="top" indent="1"/>
      <protection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7" fillId="0" borderId="7" xfId="49" applyFont="1" applyFill="1" applyBorder="1" applyAlignment="1">
      <alignment wrapText="1"/>
      <protection/>
    </xf>
    <xf numFmtId="174" fontId="23" fillId="0" borderId="0" xfId="23" applyNumberFormat="1" applyFont="1" applyFill="1" applyBorder="1" applyAlignment="1">
      <alignment horizontal="right"/>
      <protection/>
    </xf>
    <xf numFmtId="0" fontId="21" fillId="0" borderId="0" xfId="49" applyFont="1" applyFill="1" applyAlignment="1">
      <alignment horizontal="left" vertical="top" wrapText="1"/>
      <protection/>
    </xf>
    <xf numFmtId="0" fontId="23" fillId="0" borderId="0" xfId="0" applyFont="1" applyFill="1" applyBorder="1" applyAlignment="1">
      <alignment/>
    </xf>
    <xf numFmtId="49" fontId="24" fillId="0" borderId="0" xfId="51" applyFont="1" applyFill="1" applyBorder="1" applyAlignment="1">
      <alignment horizontal="left"/>
      <protection/>
    </xf>
    <xf numFmtId="49" fontId="24" fillId="0" borderId="0" xfId="51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175" fontId="23" fillId="0" borderId="0" xfId="23" applyNumberFormat="1" applyFont="1" applyFill="1" applyBorder="1" applyAlignment="1">
      <alignment horizontal="right"/>
      <protection/>
    </xf>
    <xf numFmtId="0" fontId="21" fillId="0" borderId="0" xfId="49" applyFont="1" applyFill="1" applyAlignment="1">
      <alignment horizontal="left" vertical="top"/>
      <protection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top"/>
    </xf>
    <xf numFmtId="0" fontId="27" fillId="0" borderId="0" xfId="49" applyFont="1" applyFill="1" applyAlignment="1">
      <alignment horizontal="left" vertical="top"/>
      <protection/>
    </xf>
    <xf numFmtId="0" fontId="27" fillId="0" borderId="0" xfId="0" applyFont="1" applyFill="1" applyAlignment="1">
      <alignment horizontal="left" vertical="top"/>
    </xf>
    <xf numFmtId="49" fontId="28" fillId="0" borderId="0" xfId="0" applyNumberFormat="1" applyFont="1" applyFill="1" applyAlignment="1">
      <alignment horizontal="left" vertical="top"/>
    </xf>
    <xf numFmtId="49" fontId="21" fillId="0" borderId="0" xfId="0" applyNumberFormat="1" applyFont="1" applyFill="1" applyAlignment="1">
      <alignment horizontal="left" vertical="top"/>
    </xf>
    <xf numFmtId="49" fontId="21" fillId="0" borderId="0" xfId="0" applyNumberFormat="1" applyFont="1" applyFill="1" applyAlignment="1">
      <alignment vertical="top" wrapText="1"/>
    </xf>
    <xf numFmtId="49" fontId="27" fillId="0" borderId="0" xfId="0" applyNumberFormat="1" applyFont="1" applyFill="1" applyAlignment="1">
      <alignment horizontal="left" vertical="top"/>
    </xf>
    <xf numFmtId="49" fontId="22" fillId="0" borderId="3" xfId="40" applyNumberFormat="1" applyFont="1" applyFill="1" applyBorder="1" applyAlignment="1">
      <alignment horizontal="center" vertical="top"/>
      <protection/>
    </xf>
    <xf numFmtId="49" fontId="22" fillId="0" borderId="8" xfId="40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 vertical="top"/>
    </xf>
    <xf numFmtId="3" fontId="21" fillId="0" borderId="0" xfId="23" applyNumberFormat="1" applyFont="1" applyFill="1" applyBorder="1" applyAlignment="1">
      <alignment horizontal="right" vertical="top"/>
      <protection/>
    </xf>
    <xf numFmtId="3" fontId="21" fillId="0" borderId="0" xfId="23" applyFont="1" applyFill="1" applyBorder="1" applyAlignment="1">
      <alignment horizontal="right" vertical="top"/>
      <protection/>
    </xf>
    <xf numFmtId="3" fontId="21" fillId="0" borderId="0" xfId="51" applyNumberFormat="1" applyFont="1" applyFill="1" applyBorder="1" applyAlignment="1">
      <alignment horizontal="right" vertical="top"/>
      <protection/>
    </xf>
    <xf numFmtId="3" fontId="19" fillId="0" borderId="0" xfId="23" applyNumberFormat="1" applyFont="1" applyFill="1" applyBorder="1" applyAlignment="1">
      <alignment horizontal="right" vertical="top"/>
      <protection/>
    </xf>
    <xf numFmtId="3" fontId="19" fillId="0" borderId="0" xfId="51" applyNumberFormat="1" applyFont="1" applyFill="1" applyBorder="1" applyAlignment="1">
      <alignment horizontal="right" vertical="top"/>
      <protection/>
    </xf>
    <xf numFmtId="0" fontId="21" fillId="0" borderId="0" xfId="0" applyFont="1" applyFill="1" applyAlignment="1">
      <alignment vertical="top"/>
    </xf>
    <xf numFmtId="0" fontId="26" fillId="0" borderId="0" xfId="49" applyNumberFormat="1" applyFont="1" applyFill="1" applyAlignment="1">
      <alignment horizontal="left" vertical="top" wrapText="1"/>
      <protection/>
    </xf>
    <xf numFmtId="49" fontId="21" fillId="0" borderId="0" xfId="0" applyNumberFormat="1" applyFont="1" applyFill="1" applyAlignment="1">
      <alignment horizontal="left" vertical="top" wrapText="1"/>
    </xf>
    <xf numFmtId="49" fontId="28" fillId="0" borderId="0" xfId="0" applyNumberFormat="1" applyFont="1" applyFill="1" applyAlignment="1">
      <alignment horizontal="left" vertical="top" wrapText="1"/>
    </xf>
    <xf numFmtId="49" fontId="27" fillId="0" borderId="0" xfId="0" applyNumberFormat="1" applyFont="1" applyFill="1" applyAlignment="1">
      <alignment horizontal="left" vertical="top" wrapText="1"/>
    </xf>
    <xf numFmtId="0" fontId="21" fillId="0" borderId="0" xfId="49" applyFont="1" applyFill="1" applyAlignment="1">
      <alignment horizontal="left" vertical="top" wrapText="1"/>
      <protection/>
    </xf>
    <xf numFmtId="0" fontId="21" fillId="0" borderId="0" xfId="0" applyFont="1" applyFill="1" applyAlignment="1">
      <alignment horizontal="left" vertical="top" wrapText="1"/>
    </xf>
    <xf numFmtId="0" fontId="21" fillId="0" borderId="0" xfId="0" applyNumberFormat="1" applyFont="1" applyFill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27" fillId="0" borderId="0" xfId="49" applyFont="1" applyFill="1" applyBorder="1" applyAlignment="1">
      <alignment horizontal="left" vertical="top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9" fillId="0" borderId="0" xfId="39" applyFont="1" applyFill="1" applyBorder="1" applyAlignment="1">
      <alignment horizontal="left" vertical="top" wrapText="1"/>
      <protection/>
    </xf>
    <xf numFmtId="0" fontId="26" fillId="0" borderId="0" xfId="49" applyFont="1" applyFill="1" applyBorder="1" applyAlignment="1">
      <alignment horizontal="left" vertical="top" wrapText="1"/>
      <protection/>
    </xf>
    <xf numFmtId="0" fontId="27" fillId="0" borderId="7" xfId="49" applyFont="1" applyFill="1" applyBorder="1" applyAlignment="1">
      <alignment horizontal="left" vertical="top" wrapText="1"/>
      <protection/>
    </xf>
    <xf numFmtId="0" fontId="2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6" fillId="0" borderId="0" xfId="49" applyFont="1" applyFill="1" applyAlignment="1">
      <alignment horizontal="left" vertical="top" wrapText="1"/>
      <protection/>
    </xf>
    <xf numFmtId="0" fontId="27" fillId="0" borderId="0" xfId="49" applyFont="1" applyFill="1" applyAlignment="1">
      <alignment horizontal="left" vertical="top" wrapText="1"/>
      <protection/>
    </xf>
    <xf numFmtId="0" fontId="22" fillId="0" borderId="3" xfId="40" applyFont="1" applyFill="1" applyBorder="1" applyAlignment="1">
      <alignment horizontal="center" vertical="top" wrapText="1"/>
      <protection/>
    </xf>
    <xf numFmtId="3" fontId="23" fillId="0" borderId="0" xfId="0" applyNumberFormat="1" applyFont="1" applyFill="1" applyAlignment="1">
      <alignment/>
    </xf>
    <xf numFmtId="3" fontId="23" fillId="0" borderId="0" xfId="27" applyNumberFormat="1" applyFont="1" applyFill="1" applyBorder="1" applyAlignment="1">
      <alignment horizontal="right"/>
      <protection/>
    </xf>
    <xf numFmtId="174" fontId="23" fillId="0" borderId="0" xfId="2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/>
    </xf>
    <xf numFmtId="174" fontId="23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/>
    </xf>
    <xf numFmtId="0" fontId="21" fillId="0" borderId="0" xfId="0" applyFont="1" applyFill="1" applyAlignment="1">
      <alignment horizontal="left" vertical="top" wrapText="1"/>
    </xf>
    <xf numFmtId="0" fontId="11" fillId="0" borderId="6" xfId="63" applyFont="1" applyFill="1" applyBorder="1" applyAlignment="1">
      <alignment wrapText="1"/>
      <protection/>
    </xf>
    <xf numFmtId="0" fontId="0" fillId="0" borderId="6" xfId="0" applyFont="1" applyFill="1" applyBorder="1" applyAlignment="1">
      <alignment wrapText="1"/>
    </xf>
    <xf numFmtId="0" fontId="0" fillId="0" borderId="6" xfId="0" applyBorder="1" applyAlignment="1">
      <alignment wrapText="1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 Regular_Regular" xfId="37"/>
    <cellStyle name="Hed Side_1-1A-Regular" xfId="38"/>
    <cellStyle name="Hed Side_Regular_1" xfId="39"/>
    <cellStyle name="Hed Top" xfId="40"/>
    <cellStyle name="Hed Top - SECTION" xfId="41"/>
    <cellStyle name="Hed Top_3-new4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Superscript_Regular_1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2"/>
  <sheetViews>
    <sheetView tabSelected="1" zoomScaleSheetLayoutView="100" workbookViewId="0" topLeftCell="A1">
      <selection activeCell="A1" sqref="A1:U1"/>
    </sheetView>
  </sheetViews>
  <sheetFormatPr defaultColWidth="9.140625" defaultRowHeight="12.75"/>
  <cols>
    <col min="1" max="1" width="37.140625" style="14" customWidth="1"/>
    <col min="2" max="19" width="7.7109375" style="14" customWidth="1"/>
    <col min="20" max="20" width="8.00390625" style="14" customWidth="1"/>
    <col min="21" max="21" width="7.7109375" style="20" customWidth="1"/>
    <col min="22" max="16384" width="9.140625" style="14" customWidth="1"/>
  </cols>
  <sheetData>
    <row r="1" spans="1:40" ht="14.25" thickBot="1">
      <c r="A1" s="109" t="s">
        <v>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1"/>
      <c r="T1" s="111"/>
      <c r="U1" s="11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</row>
    <row r="2" spans="1:40" s="51" customFormat="1" ht="13.5">
      <c r="A2" s="49"/>
      <c r="B2" s="74" t="s">
        <v>54</v>
      </c>
      <c r="C2" s="74" t="s">
        <v>55</v>
      </c>
      <c r="D2" s="74" t="s">
        <v>56</v>
      </c>
      <c r="E2" s="74" t="s">
        <v>57</v>
      </c>
      <c r="F2" s="74" t="s">
        <v>58</v>
      </c>
      <c r="G2" s="74" t="s">
        <v>59</v>
      </c>
      <c r="H2" s="74" t="s">
        <v>60</v>
      </c>
      <c r="I2" s="74" t="s">
        <v>61</v>
      </c>
      <c r="J2" s="74" t="s">
        <v>62</v>
      </c>
      <c r="K2" s="74" t="s">
        <v>63</v>
      </c>
      <c r="L2" s="74" t="s">
        <v>64</v>
      </c>
      <c r="M2" s="74" t="s">
        <v>65</v>
      </c>
      <c r="N2" s="74" t="s">
        <v>66</v>
      </c>
      <c r="O2" s="74" t="s">
        <v>67</v>
      </c>
      <c r="P2" s="74" t="s">
        <v>28</v>
      </c>
      <c r="Q2" s="74" t="s">
        <v>68</v>
      </c>
      <c r="R2" s="74" t="s">
        <v>69</v>
      </c>
      <c r="S2" s="75" t="s">
        <v>36</v>
      </c>
      <c r="T2" s="75" t="s">
        <v>83</v>
      </c>
      <c r="U2" s="101">
        <v>2003</v>
      </c>
      <c r="V2" s="50"/>
      <c r="W2" s="50"/>
      <c r="X2" s="50"/>
      <c r="Y2" s="50"/>
      <c r="Z2" s="50"/>
      <c r="AA2" s="50"/>
      <c r="AB2" s="4"/>
      <c r="AC2" s="4"/>
      <c r="AD2" s="4"/>
      <c r="AE2" s="4"/>
      <c r="AF2" s="4"/>
      <c r="AG2" s="4"/>
      <c r="AH2" s="4"/>
      <c r="AI2" s="5"/>
      <c r="AJ2" s="4"/>
      <c r="AK2" s="4"/>
      <c r="AL2" s="4"/>
      <c r="AM2" s="4"/>
      <c r="AN2" s="4"/>
    </row>
    <row r="3" spans="1:40" ht="15.75">
      <c r="A3" s="15" t="s">
        <v>0</v>
      </c>
      <c r="B3" s="16"/>
      <c r="C3" s="16"/>
      <c r="D3" s="16"/>
      <c r="E3" s="16"/>
      <c r="F3" s="16"/>
      <c r="G3" s="16"/>
      <c r="H3" s="16"/>
      <c r="I3" s="17"/>
      <c r="J3" s="16"/>
      <c r="K3" s="16"/>
      <c r="L3" s="18"/>
      <c r="M3" s="18"/>
      <c r="N3" s="18"/>
      <c r="O3" s="18"/>
      <c r="P3" s="16"/>
      <c r="Q3" s="16"/>
      <c r="R3" s="16"/>
      <c r="S3" s="6"/>
      <c r="T3" s="6"/>
      <c r="U3" s="61"/>
      <c r="V3" s="6"/>
      <c r="W3" s="6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9"/>
      <c r="AJ3" s="8"/>
      <c r="AK3" s="8"/>
      <c r="AL3" s="10"/>
      <c r="AM3" s="10"/>
      <c r="AN3" s="10"/>
    </row>
    <row r="4" spans="1:40" ht="15.75">
      <c r="A4" s="19" t="s">
        <v>25</v>
      </c>
      <c r="B4" s="16"/>
      <c r="C4" s="16"/>
      <c r="D4" s="16"/>
      <c r="E4" s="16"/>
      <c r="F4" s="16"/>
      <c r="G4" s="16"/>
      <c r="H4" s="16"/>
      <c r="I4" s="17"/>
      <c r="J4" s="16"/>
      <c r="K4" s="16"/>
      <c r="L4" s="18"/>
      <c r="M4" s="18"/>
      <c r="N4" s="18"/>
      <c r="O4" s="18"/>
      <c r="P4" s="16"/>
      <c r="Q4" s="16"/>
      <c r="R4" s="16"/>
      <c r="S4" s="6"/>
      <c r="T4" s="6"/>
      <c r="U4" s="62"/>
      <c r="V4" s="6"/>
      <c r="W4" s="6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9"/>
      <c r="AJ4" s="8"/>
      <c r="AK4" s="8"/>
      <c r="AL4" s="10"/>
      <c r="AM4" s="10"/>
      <c r="AN4" s="10"/>
    </row>
    <row r="5" spans="1:40" ht="13.5">
      <c r="A5" s="52" t="s">
        <v>70</v>
      </c>
      <c r="B5" s="16">
        <v>263.79</v>
      </c>
      <c r="C5" s="16">
        <v>525.015</v>
      </c>
      <c r="D5" s="16">
        <v>1060.695</v>
      </c>
      <c r="E5" s="16">
        <v>1020.33</v>
      </c>
      <c r="F5" s="16">
        <f>8519233124*135000/10^12</f>
        <v>1150.09647174</v>
      </c>
      <c r="G5" s="16">
        <f>10115007164*135000/10^12</f>
        <v>1365.52596714</v>
      </c>
      <c r="H5" s="16">
        <f>12323211661*135000/10^12</f>
        <v>1663.633574235</v>
      </c>
      <c r="I5" s="16">
        <f>11506477349*135000/10^12</f>
        <v>1553.374442115</v>
      </c>
      <c r="J5" s="16">
        <f>11762851530*135000/10^12</f>
        <v>1587.98495655</v>
      </c>
      <c r="K5" s="16">
        <f>11958662813*135000/10^12</f>
        <v>1614.419479755</v>
      </c>
      <c r="L5" s="16">
        <f>12384325825*135000/10^12</f>
        <v>1671.883986375</v>
      </c>
      <c r="M5" s="16">
        <f>12671541990*135000/10^12</f>
        <v>1710.65816865</v>
      </c>
      <c r="N5" s="16">
        <f>13217276114*135000/10^12</f>
        <v>1784.33227539</v>
      </c>
      <c r="O5" s="102">
        <f>13562837885*135000/10^12</f>
        <v>1830.983114475</v>
      </c>
      <c r="P5" s="16">
        <f>13335267666*135000/10^12</f>
        <v>1800.26113491</v>
      </c>
      <c r="Q5" s="16">
        <f>14402126792*135000/10^12</f>
        <v>1944.28711692</v>
      </c>
      <c r="R5" s="16">
        <f>14844591570*135000/10^12</f>
        <v>2004.01986195</v>
      </c>
      <c r="S5" s="16">
        <f>14017461188*135000/10^12</f>
        <v>1892.35726038</v>
      </c>
      <c r="T5" s="16">
        <f>12848329067*135000/10^12</f>
        <v>1734.524424045</v>
      </c>
      <c r="U5" s="103">
        <f>12958580565*135000/10^12</f>
        <v>1749.408376275</v>
      </c>
      <c r="V5" s="6"/>
      <c r="W5" s="6"/>
      <c r="X5" s="6"/>
      <c r="Y5" s="6"/>
      <c r="Z5" s="6"/>
      <c r="AA5" s="6"/>
      <c r="AB5" s="8"/>
      <c r="AC5" s="8"/>
      <c r="AD5" s="8"/>
      <c r="AE5" s="8"/>
      <c r="AF5" s="8"/>
      <c r="AG5" s="8"/>
      <c r="AH5" s="8"/>
      <c r="AI5" s="9"/>
      <c r="AJ5" s="8"/>
      <c r="AK5" s="8"/>
      <c r="AL5" s="8"/>
      <c r="AM5" s="8"/>
      <c r="AN5" s="10"/>
    </row>
    <row r="6" spans="1:40" ht="15.75">
      <c r="A6" s="19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0"/>
      <c r="R6" s="16"/>
      <c r="S6" s="6"/>
      <c r="T6" s="6"/>
      <c r="U6" s="62"/>
      <c r="V6" s="6"/>
      <c r="W6" s="6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9"/>
      <c r="AJ6" s="8"/>
      <c r="AK6" s="8"/>
      <c r="AL6" s="8"/>
      <c r="AM6" s="8"/>
      <c r="AN6" s="10"/>
    </row>
    <row r="7" spans="1:40" ht="13.5">
      <c r="A7" s="52" t="s">
        <v>71</v>
      </c>
      <c r="B7" s="16">
        <v>29.0884</v>
      </c>
      <c r="C7" s="16">
        <v>35.0984</v>
      </c>
      <c r="D7" s="16">
        <v>66.2302</v>
      </c>
      <c r="E7" s="16">
        <v>49.5224</v>
      </c>
      <c r="F7" s="16">
        <v>62.504</v>
      </c>
      <c r="G7" s="16">
        <v>50.6042</v>
      </c>
      <c r="H7" s="16">
        <v>42.4306</v>
      </c>
      <c r="I7" s="17">
        <v>42.5508</v>
      </c>
      <c r="J7" s="16">
        <v>37.7428</v>
      </c>
      <c r="K7" s="16">
        <v>32.2136</v>
      </c>
      <c r="L7" s="18">
        <f>266.1*120200/10^6</f>
        <v>31.985220000000005</v>
      </c>
      <c r="M7" s="18">
        <f>287.3*120200/10^6</f>
        <v>34.53346</v>
      </c>
      <c r="N7" s="18">
        <f>288.5*120200/10^6</f>
        <v>34.6777</v>
      </c>
      <c r="O7" s="18">
        <f>292.2*120200/10^6</f>
        <v>35.12244</v>
      </c>
      <c r="P7" s="16">
        <f>311.3*120200/10^6</f>
        <v>37.41826</v>
      </c>
      <c r="Q7" s="16">
        <f>345.4*120200/10^6</f>
        <v>41.51708</v>
      </c>
      <c r="R7" s="58">
        <f>332.7*120200/10^6</f>
        <v>39.99054</v>
      </c>
      <c r="S7" s="58">
        <f>275.2*120200/10^6</f>
        <v>33.07904</v>
      </c>
      <c r="T7" s="16">
        <f>277.9*120200/10^6</f>
        <v>33.40358</v>
      </c>
      <c r="U7" s="16">
        <f>276.4*120200/10^6</f>
        <v>33.223279999999995</v>
      </c>
      <c r="V7" s="6"/>
      <c r="W7" s="6"/>
      <c r="X7" s="6"/>
      <c r="Y7" s="6"/>
      <c r="Z7" s="6"/>
      <c r="AA7" s="7"/>
      <c r="AB7" s="8"/>
      <c r="AC7" s="8"/>
      <c r="AD7" s="8"/>
      <c r="AE7" s="8"/>
      <c r="AF7" s="8"/>
      <c r="AG7" s="8"/>
      <c r="AH7" s="8"/>
      <c r="AI7" s="9"/>
      <c r="AJ7" s="8"/>
      <c r="AK7" s="8"/>
      <c r="AL7" s="8"/>
      <c r="AM7" s="8"/>
      <c r="AN7" s="10"/>
    </row>
    <row r="8" spans="1:40" ht="13.5">
      <c r="A8" s="52" t="s">
        <v>70</v>
      </c>
      <c r="B8" s="16" t="s">
        <v>1</v>
      </c>
      <c r="C8" s="16">
        <v>7.56</v>
      </c>
      <c r="D8" s="16">
        <v>28.08</v>
      </c>
      <c r="E8" s="16">
        <v>61.155</v>
      </c>
      <c r="F8" s="16">
        <v>103.41</v>
      </c>
      <c r="G8" s="16">
        <v>93.285</v>
      </c>
      <c r="H8" s="16">
        <v>89.505</v>
      </c>
      <c r="I8" s="17">
        <v>77.895</v>
      </c>
      <c r="J8" s="16">
        <v>66.69</v>
      </c>
      <c r="K8" s="16">
        <v>61.29</v>
      </c>
      <c r="L8" s="18">
        <f>464.4*135000/10^6</f>
        <v>62.694</v>
      </c>
      <c r="M8" s="18">
        <f>559.8*135000/10^6</f>
        <v>75.573</v>
      </c>
      <c r="N8" s="18">
        <f>607.7*135000/10^6</f>
        <v>82.0395</v>
      </c>
      <c r="O8" s="18">
        <f>642*135000/10^6</f>
        <v>86.67</v>
      </c>
      <c r="P8" s="16">
        <f>814.7*135000/10^6</f>
        <v>109.9845</v>
      </c>
      <c r="Q8" s="16">
        <f>967.3*135000/10^6</f>
        <v>130.5855</v>
      </c>
      <c r="R8" s="58">
        <f>972*135000/10^6</f>
        <v>131.22</v>
      </c>
      <c r="S8" s="58">
        <f>952.8*135000/10^6</f>
        <v>128.628</v>
      </c>
      <c r="T8" s="16">
        <f>984.3*135000/10^6</f>
        <v>132.8805</v>
      </c>
      <c r="U8" s="16">
        <f>989.3*135000/10^6</f>
        <v>133.5555</v>
      </c>
      <c r="V8" s="6"/>
      <c r="W8" s="6"/>
      <c r="X8" s="6"/>
      <c r="Y8" s="6"/>
      <c r="Z8" s="6"/>
      <c r="AA8" s="7"/>
      <c r="AB8" s="8"/>
      <c r="AC8" s="8"/>
      <c r="AD8" s="8"/>
      <c r="AE8" s="8"/>
      <c r="AF8" s="8"/>
      <c r="AG8" s="8"/>
      <c r="AH8" s="8"/>
      <c r="AI8" s="9"/>
      <c r="AJ8" s="8"/>
      <c r="AK8" s="8"/>
      <c r="AL8" s="8"/>
      <c r="AM8" s="8"/>
      <c r="AN8" s="10"/>
    </row>
    <row r="9" spans="1:40" ht="15.75">
      <c r="A9" s="15" t="s">
        <v>2</v>
      </c>
      <c r="B9" s="16"/>
      <c r="C9" s="16"/>
      <c r="D9" s="16"/>
      <c r="E9" s="16"/>
      <c r="F9" s="16"/>
      <c r="G9" s="16"/>
      <c r="H9" s="16"/>
      <c r="I9" s="17"/>
      <c r="J9" s="16"/>
      <c r="K9" s="16"/>
      <c r="L9" s="18"/>
      <c r="M9" s="18"/>
      <c r="N9" s="18"/>
      <c r="O9" s="18"/>
      <c r="P9" s="16"/>
      <c r="Q9" s="16"/>
      <c r="R9" s="16"/>
      <c r="S9" s="16"/>
      <c r="T9" s="16"/>
      <c r="U9" s="62"/>
      <c r="V9" s="6"/>
      <c r="W9" s="6"/>
      <c r="X9" s="7"/>
      <c r="Y9" s="7"/>
      <c r="Z9" s="7"/>
      <c r="AA9" s="7"/>
      <c r="AB9" s="8"/>
      <c r="AC9" s="8"/>
      <c r="AD9" s="8"/>
      <c r="AE9" s="8"/>
      <c r="AF9" s="8"/>
      <c r="AG9" s="8"/>
      <c r="AH9" s="8"/>
      <c r="AI9" s="9"/>
      <c r="AJ9" s="8"/>
      <c r="AK9" s="8"/>
      <c r="AL9" s="8"/>
      <c r="AM9" s="8"/>
      <c r="AN9" s="10"/>
    </row>
    <row r="10" spans="1:40" ht="15.75">
      <c r="A10" s="19" t="s">
        <v>3</v>
      </c>
      <c r="B10" s="16"/>
      <c r="C10" s="16"/>
      <c r="D10" s="16"/>
      <c r="E10" s="16"/>
      <c r="F10" s="16"/>
      <c r="G10" s="16"/>
      <c r="H10" s="16"/>
      <c r="I10" s="17"/>
      <c r="J10" s="16"/>
      <c r="K10" s="16"/>
      <c r="L10" s="18"/>
      <c r="M10" s="18"/>
      <c r="N10" s="18"/>
      <c r="O10" s="18"/>
      <c r="P10" s="16"/>
      <c r="Q10" s="16"/>
      <c r="R10" s="16"/>
      <c r="S10" s="16"/>
      <c r="T10" s="16"/>
      <c r="U10" s="62"/>
      <c r="V10" s="6"/>
      <c r="W10" s="6"/>
      <c r="X10" s="7"/>
      <c r="Y10" s="7"/>
      <c r="Z10" s="7"/>
      <c r="AA10" s="7"/>
      <c r="AB10" s="8"/>
      <c r="AC10" s="8"/>
      <c r="AD10" s="8"/>
      <c r="AE10" s="8"/>
      <c r="AF10" s="8"/>
      <c r="AG10" s="8"/>
      <c r="AH10" s="8"/>
      <c r="AI10" s="9"/>
      <c r="AJ10" s="8"/>
      <c r="AK10" s="8"/>
      <c r="AL10" s="8"/>
      <c r="AM10" s="8"/>
      <c r="AN10" s="10"/>
    </row>
    <row r="11" spans="1:40" ht="17.25">
      <c r="A11" s="52" t="s">
        <v>72</v>
      </c>
      <c r="B11" s="16">
        <f>41171*125000/10^6</f>
        <v>5146.375</v>
      </c>
      <c r="C11" s="16">
        <f>49723*125000/10^6</f>
        <v>6215.375</v>
      </c>
      <c r="D11" s="16">
        <f>67879*125000/10^6</f>
        <v>8484.875</v>
      </c>
      <c r="E11" s="16">
        <f>74253*125000/10^6</f>
        <v>9281.625</v>
      </c>
      <c r="F11" s="16">
        <f>70186*125000/10^6</f>
        <v>8773.25</v>
      </c>
      <c r="G11" s="16">
        <f>71700*125000/10^6</f>
        <v>8962.5</v>
      </c>
      <c r="H11" s="16">
        <f>69759*125000/10^6</f>
        <v>8719.875</v>
      </c>
      <c r="I11" s="16">
        <f>64501*125000/10^6</f>
        <v>8062.625</v>
      </c>
      <c r="J11" s="16">
        <f>65627*125000/10^6</f>
        <v>8203.375</v>
      </c>
      <c r="K11" s="16">
        <f>67246*125000/10^6</f>
        <v>8405.75</v>
      </c>
      <c r="L11" s="18">
        <f>68079*125000/10^6</f>
        <v>8509.875</v>
      </c>
      <c r="M11" s="18">
        <f>(68072435+196046)*125000/10^9</f>
        <v>8533.560125</v>
      </c>
      <c r="N11" s="18">
        <f>(69221022+198400)*125000/10^9</f>
        <v>8677.42775</v>
      </c>
      <c r="O11" s="18">
        <f>(69892366+201620)*125000/10^9</f>
        <v>8761.74825</v>
      </c>
      <c r="P11" s="18">
        <f>(71695279+205660)*125000/10^9</f>
        <v>8987.617375</v>
      </c>
      <c r="Q11" s="16">
        <f>(73282927+211680)*125000/10^9</f>
        <v>9186.825875</v>
      </c>
      <c r="R11" s="16">
        <f>((73065208+209380)*125000)/(10^9)</f>
        <v>9159.3235</v>
      </c>
      <c r="S11" s="16">
        <f>((73558790+192780)*125000)/(10^9)</f>
        <v>9218.94625</v>
      </c>
      <c r="T11" s="104">
        <f>((75471258+191040)*125000)/(10^9)</f>
        <v>9457.78725</v>
      </c>
      <c r="U11" s="103">
        <f>((74590137+190780)*125000)/(10^9)</f>
        <v>9347.614625</v>
      </c>
      <c r="V11" s="6"/>
      <c r="W11" s="6"/>
      <c r="X11" s="6"/>
      <c r="Y11" s="11"/>
      <c r="Z11" s="6"/>
      <c r="AA11" s="6"/>
      <c r="AB11" s="8"/>
      <c r="AC11" s="8"/>
      <c r="AD11" s="8"/>
      <c r="AE11" s="8"/>
      <c r="AF11" s="8"/>
      <c r="AG11" s="8"/>
      <c r="AH11" s="8"/>
      <c r="AI11" s="9"/>
      <c r="AJ11" s="8"/>
      <c r="AK11" s="8"/>
      <c r="AL11" s="8"/>
      <c r="AM11" s="8"/>
      <c r="AN11" s="10"/>
    </row>
    <row r="12" spans="1:40" ht="17.25">
      <c r="A12" s="52" t="s">
        <v>73</v>
      </c>
      <c r="B12" s="16" t="s">
        <v>1</v>
      </c>
      <c r="C12" s="16" t="s">
        <v>24</v>
      </c>
      <c r="D12" s="16">
        <f>12313*125000/10^6</f>
        <v>1539.125</v>
      </c>
      <c r="E12" s="16">
        <f>19081*125000/10^6</f>
        <v>2385.125</v>
      </c>
      <c r="F12" s="16">
        <f>23796*125000/10^6</f>
        <v>2974.5</v>
      </c>
      <c r="G12" s="16">
        <f>27363*125000/10^6</f>
        <v>3420.375</v>
      </c>
      <c r="H12" s="16">
        <f>35611*125000/10^6</f>
        <v>4451.375</v>
      </c>
      <c r="I12" s="17">
        <f>38217*125000/10^6</f>
        <v>4777.125</v>
      </c>
      <c r="J12" s="16">
        <f>40929*125000/10^6</f>
        <v>5116.125</v>
      </c>
      <c r="K12" s="16">
        <f>42851*125000/10^6</f>
        <v>5356.375</v>
      </c>
      <c r="L12" s="18">
        <f>44112*125000/10^6</f>
        <v>5514</v>
      </c>
      <c r="M12" s="18">
        <f>45604504*125000/10^9</f>
        <v>5700.563</v>
      </c>
      <c r="N12" s="18">
        <f>47354029*125000/10^9</f>
        <v>5919.253625</v>
      </c>
      <c r="O12" s="18">
        <f>49387705*125000/10^9</f>
        <v>6173.463125</v>
      </c>
      <c r="P12" s="18">
        <f>50462250*125000/10^9</f>
        <v>6307.78125</v>
      </c>
      <c r="Q12" s="16">
        <f>52859068*125000/10^9</f>
        <v>6607.3835</v>
      </c>
      <c r="R12" s="16">
        <f>52938805*125000/10^9</f>
        <v>6617.350625</v>
      </c>
      <c r="S12" s="16">
        <f>53521781*125000/10^9</f>
        <v>6690.222625</v>
      </c>
      <c r="T12" s="104">
        <f>55220108*125000/10^9</f>
        <v>6902.5135</v>
      </c>
      <c r="U12" s="103">
        <f>56301627*125000/10^9</f>
        <v>7037.703375</v>
      </c>
      <c r="V12" s="6"/>
      <c r="W12" s="6"/>
      <c r="X12" s="6"/>
      <c r="Y12" s="11"/>
      <c r="Z12" s="6"/>
      <c r="AA12" s="6"/>
      <c r="AB12" s="8"/>
      <c r="AC12" s="8"/>
      <c r="AD12" s="8"/>
      <c r="AE12" s="8"/>
      <c r="AF12" s="8"/>
      <c r="AG12" s="8"/>
      <c r="AH12" s="8"/>
      <c r="AI12" s="9"/>
      <c r="AJ12" s="8"/>
      <c r="AK12" s="8"/>
      <c r="AL12" s="8"/>
      <c r="AM12" s="8"/>
      <c r="AN12" s="10"/>
    </row>
    <row r="13" spans="1:40" ht="17.25">
      <c r="A13" s="52" t="s">
        <v>74</v>
      </c>
      <c r="B13" s="16" t="s">
        <v>1</v>
      </c>
      <c r="C13" s="16">
        <f>13848*138700/10^6</f>
        <v>1920.7176</v>
      </c>
      <c r="D13" s="16">
        <f>3968*138700/10^6</f>
        <v>550.3616</v>
      </c>
      <c r="E13" s="16">
        <f>5420*138700/10^6</f>
        <v>751.754</v>
      </c>
      <c r="F13" s="16">
        <f>6923*138700/10^6</f>
        <v>960.2201</v>
      </c>
      <c r="G13" s="16">
        <f>7399*138700/10^6</f>
        <v>1026.2413</v>
      </c>
      <c r="H13" s="16">
        <f>8357*138700/10^6</f>
        <v>1159.1159</v>
      </c>
      <c r="I13" s="17">
        <f>8172*138700/10^6</f>
        <v>1133.4564</v>
      </c>
      <c r="J13" s="16">
        <f>8237*138700/10^6</f>
        <v>1142.4719</v>
      </c>
      <c r="K13" s="16">
        <f>8488*138700/10^6</f>
        <v>1177.2856</v>
      </c>
      <c r="L13" s="18">
        <f>9032*138700/10^6</f>
        <v>1252.7384</v>
      </c>
      <c r="M13" s="18">
        <f>9216070*138700/10^9</f>
        <v>1278.268909</v>
      </c>
      <c r="N13" s="18">
        <f>9408887*138700/10^9</f>
        <v>1305.0126269</v>
      </c>
      <c r="O13" s="18">
        <f>9576059*138700/10^9</f>
        <v>1328.1993833</v>
      </c>
      <c r="P13" s="18">
        <f>6817489*138700/10^9</f>
        <v>945.5857243</v>
      </c>
      <c r="Q13" s="16">
        <f>9372071*138700/10^9</f>
        <v>1299.9062477</v>
      </c>
      <c r="R13" s="16">
        <f>9563044*138700/10^9</f>
        <v>1326.3942028</v>
      </c>
      <c r="S13" s="16">
        <f>9667248*138700/10^9</f>
        <v>1340.8472976</v>
      </c>
      <c r="T13" s="104">
        <f>10320611*125000/10^9</f>
        <v>1290.076375</v>
      </c>
      <c r="U13" s="103">
        <f>10690183*125000/10^9</f>
        <v>1336.272875</v>
      </c>
      <c r="V13" s="6"/>
      <c r="W13" s="6"/>
      <c r="X13" s="6"/>
      <c r="Y13" s="11"/>
      <c r="Z13" s="6"/>
      <c r="AA13" s="6"/>
      <c r="AB13" s="8"/>
      <c r="AC13" s="8"/>
      <c r="AD13" s="8"/>
      <c r="AE13" s="8"/>
      <c r="AF13" s="8"/>
      <c r="AG13" s="8"/>
      <c r="AH13" s="8"/>
      <c r="AI13" s="9"/>
      <c r="AJ13" s="8"/>
      <c r="AK13" s="8"/>
      <c r="AL13" s="8"/>
      <c r="AM13" s="8"/>
      <c r="AN13" s="10"/>
    </row>
    <row r="14" spans="1:40" ht="17.25">
      <c r="A14" s="52" t="s">
        <v>75</v>
      </c>
      <c r="B14" s="16" t="s">
        <v>1</v>
      </c>
      <c r="C14" s="18">
        <f>6658*138700/10^6</f>
        <v>923.4646</v>
      </c>
      <c r="D14" s="18">
        <f>7348*138700/10^6</f>
        <v>1019.1676</v>
      </c>
      <c r="E14" s="18">
        <f>9177*138700/10^6</f>
        <v>1272.8499</v>
      </c>
      <c r="F14" s="18">
        <f>13037*138700/10^6</f>
        <v>1808.2319</v>
      </c>
      <c r="G14" s="18">
        <f>14005*138700/10^6</f>
        <v>1942.4935</v>
      </c>
      <c r="H14" s="18">
        <f>16133*138700/10^6</f>
        <v>2237.6471</v>
      </c>
      <c r="I14" s="18">
        <f>16809*138700/10^6</f>
        <v>2331.4083</v>
      </c>
      <c r="J14" s="18">
        <f>17216*138700/10^6</f>
        <v>2387.8592</v>
      </c>
      <c r="K14" s="18">
        <f>17748*138700/10^6</f>
        <v>2461.6476</v>
      </c>
      <c r="L14" s="18">
        <f>18653*138700/10^6</f>
        <v>2587.1711</v>
      </c>
      <c r="M14" s="18">
        <f>19777180*138700/10^9</f>
        <v>2743.094866</v>
      </c>
      <c r="N14" s="18">
        <f>20192513*138700/10^9</f>
        <v>2800.7015531</v>
      </c>
      <c r="O14" s="18">
        <f>20301693*138700/10^9</f>
        <v>2815.8448191</v>
      </c>
      <c r="P14" s="18">
        <f>25157972*138700/10^9</f>
        <v>3489.4107164</v>
      </c>
      <c r="Q14" s="16">
        <f>24537320*138700/10^9</f>
        <v>3403.326284</v>
      </c>
      <c r="R14" s="16">
        <f>25665693*138700/10^9</f>
        <v>3559.8316191</v>
      </c>
      <c r="S14" s="16">
        <f>25511844*138700/10^9</f>
        <v>3538.4927628</v>
      </c>
      <c r="T14" s="104">
        <f>26479630*138700/10^9</f>
        <v>3672.724681</v>
      </c>
      <c r="U14" s="103">
        <f>26895082*138700/10^9</f>
        <v>3730.3478734</v>
      </c>
      <c r="V14" s="6"/>
      <c r="W14" s="6"/>
      <c r="X14" s="6"/>
      <c r="Y14" s="11"/>
      <c r="Z14" s="6"/>
      <c r="AA14" s="6"/>
      <c r="AB14" s="8"/>
      <c r="AC14" s="8"/>
      <c r="AD14" s="8"/>
      <c r="AE14" s="8"/>
      <c r="AF14" s="8"/>
      <c r="AG14" s="8"/>
      <c r="AH14" s="8"/>
      <c r="AI14" s="9"/>
      <c r="AJ14" s="8"/>
      <c r="AK14" s="8"/>
      <c r="AL14" s="8"/>
      <c r="AM14" s="8"/>
      <c r="AN14" s="10"/>
    </row>
    <row r="15" spans="1:40" ht="17.25">
      <c r="A15" s="52" t="s">
        <v>76</v>
      </c>
      <c r="B15" s="16">
        <f>827*138700/10^6</f>
        <v>114.7049</v>
      </c>
      <c r="C15" s="16">
        <f>875*138700/10^6</f>
        <v>121.3625</v>
      </c>
      <c r="D15" s="16">
        <f>820*138700/10^6</f>
        <v>113.734</v>
      </c>
      <c r="E15" s="16">
        <f>1053*138700/10^6</f>
        <v>146.0511</v>
      </c>
      <c r="F15" s="16">
        <f>1018*138700/10^6</f>
        <v>141.1966</v>
      </c>
      <c r="G15" s="16">
        <f>834*138700/10^6</f>
        <v>115.6758</v>
      </c>
      <c r="H15" s="16">
        <f>895*138700/10^6</f>
        <v>124.1365</v>
      </c>
      <c r="I15" s="17">
        <f>864*138700/10^6</f>
        <v>119.8368</v>
      </c>
      <c r="J15" s="16">
        <f>878*138700/10^6</f>
        <v>121.7786</v>
      </c>
      <c r="K15" s="16">
        <f>929*138700/10^6</f>
        <v>128.8523</v>
      </c>
      <c r="L15" s="18">
        <f>964*138700/10^6</f>
        <v>133.7068</v>
      </c>
      <c r="M15" s="18">
        <f>967653*138700/10^9</f>
        <v>134.2134711</v>
      </c>
      <c r="N15" s="18">
        <f>989934*138700/10^9</f>
        <v>137.3038458</v>
      </c>
      <c r="O15" s="18">
        <f>1026578*138700/10^9</f>
        <v>142.3863686</v>
      </c>
      <c r="P15" s="18">
        <f>1040335*138700/10^9</f>
        <v>144.2944645</v>
      </c>
      <c r="Q15" s="16">
        <f>1148307*138700/10^9</f>
        <v>159.2701809</v>
      </c>
      <c r="R15" s="16">
        <f>1112034*138700/10^9</f>
        <v>154.2391158</v>
      </c>
      <c r="S15" s="16">
        <f>1025899*138700/10^9</f>
        <v>142.2921913</v>
      </c>
      <c r="T15" s="104">
        <f>999563*138700/10^9</f>
        <v>138.6393881</v>
      </c>
      <c r="U15" s="103">
        <f>956660*138700/10^9</f>
        <v>132.688742</v>
      </c>
      <c r="V15" s="6"/>
      <c r="W15" s="6"/>
      <c r="X15" s="6"/>
      <c r="Y15" s="11"/>
      <c r="Z15" s="6"/>
      <c r="AA15" s="6"/>
      <c r="AB15" s="8"/>
      <c r="AC15" s="8"/>
      <c r="AD15" s="8"/>
      <c r="AE15" s="8"/>
      <c r="AF15" s="8"/>
      <c r="AG15" s="8"/>
      <c r="AH15" s="8"/>
      <c r="AI15" s="9"/>
      <c r="AJ15" s="8"/>
      <c r="AK15" s="8"/>
      <c r="AL15" s="8"/>
      <c r="AM15" s="8"/>
      <c r="AN15" s="10"/>
    </row>
    <row r="16" spans="1:40" ht="15.75">
      <c r="A16" s="15" t="s">
        <v>27</v>
      </c>
      <c r="B16" s="16"/>
      <c r="C16" s="16"/>
      <c r="D16" s="16"/>
      <c r="E16" s="16"/>
      <c r="F16" s="16"/>
      <c r="G16" s="16"/>
      <c r="H16" s="16"/>
      <c r="I16" s="17"/>
      <c r="J16" s="16"/>
      <c r="K16" s="16"/>
      <c r="L16" s="18"/>
      <c r="M16" s="18"/>
      <c r="N16" s="18"/>
      <c r="O16" s="18"/>
      <c r="P16" s="26"/>
      <c r="Q16" s="16"/>
      <c r="R16" s="16"/>
      <c r="S16" s="16"/>
      <c r="T16" s="16"/>
      <c r="U16" s="62"/>
      <c r="V16" s="6"/>
      <c r="W16" s="6"/>
      <c r="X16" s="7"/>
      <c r="Y16" s="7"/>
      <c r="Z16" s="7"/>
      <c r="AA16" s="7"/>
      <c r="AB16" s="8"/>
      <c r="AC16" s="8"/>
      <c r="AD16" s="8"/>
      <c r="AE16" s="8"/>
      <c r="AF16" s="8"/>
      <c r="AG16" s="8"/>
      <c r="AH16" s="8"/>
      <c r="AI16" s="9"/>
      <c r="AJ16" s="8"/>
      <c r="AK16" s="8"/>
      <c r="AL16" s="8"/>
      <c r="AM16" s="8"/>
      <c r="AN16" s="8"/>
    </row>
    <row r="17" spans="1:40" ht="13.5">
      <c r="A17" s="19" t="s">
        <v>4</v>
      </c>
      <c r="B17" s="16">
        <v>9.922096</v>
      </c>
      <c r="C17" s="16">
        <v>8.816608</v>
      </c>
      <c r="D17" s="16">
        <v>8.738132</v>
      </c>
      <c r="E17" s="16">
        <v>9.028152</v>
      </c>
      <c r="F17" s="16">
        <v>8.345752000000001</v>
      </c>
      <c r="G17" s="16">
        <f>4216*3412/10^6</f>
        <v>14.384992</v>
      </c>
      <c r="H17" s="18">
        <f>4837*3412/10^6</f>
        <v>16.503844</v>
      </c>
      <c r="I17" s="18">
        <f>4853*3412/10^6</f>
        <v>16.558436</v>
      </c>
      <c r="J17" s="18">
        <f>4716*3412/10^6</f>
        <v>16.090992</v>
      </c>
      <c r="K17" s="18">
        <f>4865*3412/10^6</f>
        <v>16.59938</v>
      </c>
      <c r="L17" s="18">
        <f>5081*3412/10^6</f>
        <v>17.336372</v>
      </c>
      <c r="M17" s="18">
        <f>5068*3412/10^6</f>
        <v>17.292016</v>
      </c>
      <c r="N17" s="18">
        <f>5007*3412/10^6</f>
        <v>17.083884</v>
      </c>
      <c r="O17" s="18">
        <f>4988*3412/10^6</f>
        <v>17.019056</v>
      </c>
      <c r="P17" s="18">
        <f>5073*3412/10^6</f>
        <v>17.309076</v>
      </c>
      <c r="Q17" s="18">
        <f>5237*3412/10^6</f>
        <v>17.868644</v>
      </c>
      <c r="R17" s="18">
        <f>(5510*3412)/(10^6)</f>
        <v>18.80012</v>
      </c>
      <c r="S17" s="18">
        <f>(5610*3412)/(10^6)</f>
        <v>19.14132</v>
      </c>
      <c r="T17" s="64">
        <f>(5649*3412)/(10^6)</f>
        <v>19.274388</v>
      </c>
      <c r="U17" s="16" t="s">
        <v>84</v>
      </c>
      <c r="V17" s="6"/>
      <c r="W17" s="6"/>
      <c r="X17" s="6"/>
      <c r="Y17" s="6"/>
      <c r="Z17" s="6"/>
      <c r="AA17" s="6"/>
      <c r="AB17" s="8"/>
      <c r="AC17" s="8"/>
      <c r="AD17" s="8"/>
      <c r="AE17" s="8"/>
      <c r="AF17" s="8"/>
      <c r="AG17" s="8"/>
      <c r="AH17" s="8"/>
      <c r="AI17" s="9"/>
      <c r="AJ17" s="8"/>
      <c r="AK17" s="8"/>
      <c r="AL17" s="8"/>
      <c r="AM17" s="8"/>
      <c r="AN17" s="10"/>
    </row>
    <row r="18" spans="1:40" ht="15.75">
      <c r="A18" s="19" t="s">
        <v>5</v>
      </c>
      <c r="B18" s="16"/>
      <c r="C18" s="16"/>
      <c r="D18" s="16"/>
      <c r="E18" s="16"/>
      <c r="F18" s="16"/>
      <c r="G18" s="16"/>
      <c r="H18" s="16"/>
      <c r="I18" s="17"/>
      <c r="J18" s="16"/>
      <c r="K18" s="16"/>
      <c r="L18" s="18"/>
      <c r="M18" s="18"/>
      <c r="N18" s="18"/>
      <c r="O18" s="18"/>
      <c r="P18" s="18"/>
      <c r="Q18" s="18"/>
      <c r="R18" s="18"/>
      <c r="S18" s="16"/>
      <c r="T18" s="16"/>
      <c r="U18" s="62"/>
      <c r="V18" s="6"/>
      <c r="W18" s="6"/>
      <c r="X18" s="7"/>
      <c r="Y18" s="7"/>
      <c r="Z18" s="7"/>
      <c r="AA18" s="7"/>
      <c r="AB18" s="8"/>
      <c r="AC18" s="8"/>
      <c r="AD18" s="8"/>
      <c r="AE18" s="8"/>
      <c r="AF18" s="8"/>
      <c r="AG18" s="8"/>
      <c r="AH18" s="8"/>
      <c r="AI18" s="9"/>
      <c r="AJ18" s="8"/>
      <c r="AK18" s="8"/>
      <c r="AL18" s="8"/>
      <c r="AM18" s="8"/>
      <c r="AN18" s="8"/>
    </row>
    <row r="19" spans="1:40" ht="13.5">
      <c r="A19" s="52" t="s">
        <v>77</v>
      </c>
      <c r="B19" s="16">
        <v>28.8496</v>
      </c>
      <c r="C19" s="16">
        <v>34.3976</v>
      </c>
      <c r="D19" s="16">
        <v>37.5877</v>
      </c>
      <c r="E19" s="16">
        <v>50.625499999999995</v>
      </c>
      <c r="F19" s="16">
        <v>59.7797</v>
      </c>
      <c r="G19" s="16">
        <f>608738*138700/10^9</f>
        <v>84.4319606</v>
      </c>
      <c r="H19" s="16">
        <f>651030*138700/10^9</f>
        <v>90.297861</v>
      </c>
      <c r="I19" s="17">
        <f>665158*138700/10^9</f>
        <v>92.2574146</v>
      </c>
      <c r="J19" s="16">
        <f>684944*138700/10^9</f>
        <v>95.0017328</v>
      </c>
      <c r="K19" s="16">
        <f>678511*138700/10^9</f>
        <v>94.1094757</v>
      </c>
      <c r="L19" s="16">
        <f>678226*138700/10^9</f>
        <v>94.0699462</v>
      </c>
      <c r="M19" s="18">
        <f>678286*138700/10^9</f>
        <v>94.0782682</v>
      </c>
      <c r="N19" s="18">
        <f>692714*138700/10^9</f>
        <v>96.0794318</v>
      </c>
      <c r="O19" s="18">
        <f>716952*138700/10^9</f>
        <v>99.4412424</v>
      </c>
      <c r="P19" s="18">
        <f>739621*138700/10^9</f>
        <v>102.5854327</v>
      </c>
      <c r="Q19" s="18">
        <f>763369*138700/10^9</f>
        <v>105.8792803</v>
      </c>
      <c r="R19" s="18">
        <f>786025*138700/10^9</f>
        <v>109.0216675</v>
      </c>
      <c r="S19" s="18">
        <f>744663*138700/10^9</f>
        <v>103.2847581</v>
      </c>
      <c r="T19" s="64">
        <f>724535*138700/10^9</f>
        <v>100.4930045</v>
      </c>
      <c r="U19" s="16" t="s">
        <v>84</v>
      </c>
      <c r="V19" s="6"/>
      <c r="W19" s="6"/>
      <c r="X19" s="6"/>
      <c r="Y19" s="6"/>
      <c r="Z19" s="6"/>
      <c r="AA19" s="6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ht="15.75">
      <c r="A20" s="53" t="s">
        <v>78</v>
      </c>
      <c r="B20" s="16">
        <v>24</v>
      </c>
      <c r="C20" s="16">
        <v>15.5</v>
      </c>
      <c r="D20" s="16">
        <v>8.5</v>
      </c>
      <c r="E20" s="16">
        <v>1</v>
      </c>
      <c r="F20" s="16">
        <v>1.375</v>
      </c>
      <c r="G20" s="16">
        <v>5.75</v>
      </c>
      <c r="H20" s="16">
        <v>4.25</v>
      </c>
      <c r="I20" s="16">
        <v>4.25</v>
      </c>
      <c r="J20" s="16">
        <f>(38188-1009)*125000/10^9</f>
        <v>4.647375</v>
      </c>
      <c r="K20" s="16">
        <f>(47251-1579)*125000/10^9</f>
        <v>5.709</v>
      </c>
      <c r="L20" s="16">
        <f>(64838-4835)*125000/10^9</f>
        <v>7.500375</v>
      </c>
      <c r="M20" s="16">
        <f>(71470-10740)*125000/10^9</f>
        <v>7.59125</v>
      </c>
      <c r="N20" s="16">
        <f>(76305-15092)*125000/10^9</f>
        <v>7.651625</v>
      </c>
      <c r="O20" s="16">
        <f>(83369-23906)*125000/10^9</f>
        <v>7.432875</v>
      </c>
      <c r="P20" s="16">
        <f>(89883-37268)*125000/10^9</f>
        <v>6.576875</v>
      </c>
      <c r="Q20" s="16">
        <f>(93092-44398)*125000/10^9</f>
        <v>6.08675</v>
      </c>
      <c r="R20" s="16">
        <f>(103078-54794)*125000/10^9</f>
        <v>6.0355</v>
      </c>
      <c r="S20" s="16">
        <f>(112088-66215)*125000/10^9</f>
        <v>5.734125</v>
      </c>
      <c r="T20" s="64">
        <f>(138175-81051)*125000/10^9</f>
        <v>7.1405</v>
      </c>
      <c r="U20" s="16" t="s">
        <v>84</v>
      </c>
      <c r="V20" s="6"/>
      <c r="W20" s="6"/>
      <c r="X20" s="6"/>
      <c r="Y20" s="6"/>
      <c r="Z20" s="6"/>
      <c r="AA20" s="6"/>
      <c r="AB20" s="8"/>
      <c r="AC20" s="8"/>
      <c r="AD20" s="8"/>
      <c r="AE20" s="8"/>
      <c r="AF20" s="8"/>
      <c r="AG20" s="8"/>
      <c r="AH20" s="8"/>
      <c r="AI20" s="9"/>
      <c r="AJ20" s="8"/>
      <c r="AK20" s="8"/>
      <c r="AL20" s="8"/>
      <c r="AM20" s="8"/>
      <c r="AN20" s="8"/>
    </row>
    <row r="21" spans="1:40" ht="13.5">
      <c r="A21" s="52" t="s">
        <v>79</v>
      </c>
      <c r="B21" s="16" t="s">
        <v>1</v>
      </c>
      <c r="C21" s="16" t="s">
        <v>1</v>
      </c>
      <c r="D21" s="16" t="s">
        <v>1</v>
      </c>
      <c r="E21" s="16" t="s">
        <v>1</v>
      </c>
      <c r="F21" s="16" t="s">
        <v>1</v>
      </c>
      <c r="G21" s="16" t="s">
        <v>1</v>
      </c>
      <c r="H21" s="16" t="s">
        <v>1</v>
      </c>
      <c r="I21" s="16" t="s">
        <v>1</v>
      </c>
      <c r="J21" s="16" t="s">
        <v>6</v>
      </c>
      <c r="K21" s="16" t="s">
        <v>6</v>
      </c>
      <c r="L21" s="16">
        <f>4835*138700/10^9</f>
        <v>0.6706145</v>
      </c>
      <c r="M21" s="18">
        <f>10740*138700/10^9</f>
        <v>1.489638</v>
      </c>
      <c r="N21" s="16">
        <f>15092*138700/10^9</f>
        <v>2.0932604</v>
      </c>
      <c r="O21" s="16">
        <f>23906*138700/10^9</f>
        <v>3.3157622</v>
      </c>
      <c r="P21" s="16">
        <f>37268*138700/10^9</f>
        <v>5.1690716</v>
      </c>
      <c r="Q21" s="16">
        <f>44398*138700/10^9</f>
        <v>6.1580026</v>
      </c>
      <c r="R21" s="16">
        <f>54794*138700/10^9</f>
        <v>7.5999278</v>
      </c>
      <c r="S21" s="16">
        <f>66215*138700/10^9</f>
        <v>9.1840205</v>
      </c>
      <c r="T21" s="64">
        <f>81051*138700/10^9</f>
        <v>11.2417737</v>
      </c>
      <c r="U21" s="16" t="s">
        <v>84</v>
      </c>
      <c r="V21" s="6"/>
      <c r="W21" s="6"/>
      <c r="X21" s="6"/>
      <c r="Y21" s="6"/>
      <c r="Z21" s="6"/>
      <c r="AA21" s="6"/>
      <c r="AB21" s="8"/>
      <c r="AC21" s="8"/>
      <c r="AD21" s="8"/>
      <c r="AE21" s="8"/>
      <c r="AF21" s="8"/>
      <c r="AG21" s="8"/>
      <c r="AH21" s="8"/>
      <c r="AI21" s="9"/>
      <c r="AJ21" s="8"/>
      <c r="AK21" s="8"/>
      <c r="AL21" s="8"/>
      <c r="AM21" s="8"/>
      <c r="AN21" s="10"/>
    </row>
    <row r="22" spans="1:40" ht="15.75">
      <c r="A22" s="15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62"/>
      <c r="V22" s="6"/>
      <c r="W22" s="6"/>
      <c r="X22" s="7"/>
      <c r="Y22" s="7"/>
      <c r="Z22" s="7"/>
      <c r="AA22" s="7"/>
      <c r="AB22" s="8"/>
      <c r="AC22" s="8"/>
      <c r="AD22" s="8"/>
      <c r="AE22" s="8"/>
      <c r="AF22" s="8"/>
      <c r="AG22" s="8"/>
      <c r="AH22" s="8"/>
      <c r="AI22" s="9"/>
      <c r="AJ22" s="8"/>
      <c r="AK22" s="8"/>
      <c r="AL22" s="8"/>
      <c r="AM22" s="8"/>
      <c r="AN22" s="10"/>
    </row>
    <row r="23" spans="1:40" ht="13.5">
      <c r="A23" s="21" t="s">
        <v>42</v>
      </c>
      <c r="B23" s="18">
        <f>3463*138700/10^6</f>
        <v>480.3181</v>
      </c>
      <c r="C23" s="18">
        <f>3592*138700/10^6</f>
        <v>498.2104</v>
      </c>
      <c r="D23" s="18">
        <f>3545*138700/10^6</f>
        <v>491.6915</v>
      </c>
      <c r="E23" s="18">
        <f>3657*138700/10^6</f>
        <v>507.2259</v>
      </c>
      <c r="F23" s="18">
        <f>3904*138700/10^6</f>
        <v>541.4848</v>
      </c>
      <c r="G23" s="18">
        <f>3110*138700/10^6</f>
        <v>431.357</v>
      </c>
      <c r="H23" s="18">
        <f>3115*138700/10^6</f>
        <v>432.0505</v>
      </c>
      <c r="I23" s="18">
        <f>2906*138700/10^6</f>
        <v>403.0622</v>
      </c>
      <c r="J23" s="18">
        <f>3005*138700/10^6</f>
        <v>416.7935</v>
      </c>
      <c r="K23" s="18">
        <f>3088*138700/10^6</f>
        <v>428.3056</v>
      </c>
      <c r="L23" s="18">
        <f>3334*138700/10^6</f>
        <v>462.4258</v>
      </c>
      <c r="M23" s="18">
        <f>3480*138700/10^6</f>
        <v>482.676</v>
      </c>
      <c r="N23" s="18">
        <f>3579*138700/10^6</f>
        <v>496.4073</v>
      </c>
      <c r="O23" s="18">
        <f>3575*138700/10^6</f>
        <v>495.8525</v>
      </c>
      <c r="P23" s="16">
        <f>3583*138700/10^6</f>
        <v>496.9621</v>
      </c>
      <c r="Q23" s="16">
        <f>3715*138700/10^6</f>
        <v>515.2705</v>
      </c>
      <c r="R23" s="16">
        <f>3700*138700/10^6</f>
        <v>513.19</v>
      </c>
      <c r="S23" s="16">
        <f>3710*138700/10^6</f>
        <v>514.577</v>
      </c>
      <c r="T23" s="16">
        <f>3730*138700/10^6</f>
        <v>517.351</v>
      </c>
      <c r="U23" s="16">
        <f>3826*138700/10^6</f>
        <v>530.6662</v>
      </c>
      <c r="V23" s="6"/>
      <c r="W23" s="6"/>
      <c r="X23" s="6"/>
      <c r="Y23" s="6"/>
      <c r="Z23" s="6"/>
      <c r="AA23" s="6"/>
      <c r="AB23" s="8"/>
      <c r="AC23" s="8"/>
      <c r="AD23" s="8"/>
      <c r="AE23" s="8"/>
      <c r="AF23" s="8"/>
      <c r="AG23" s="8"/>
      <c r="AH23" s="8"/>
      <c r="AI23" s="9"/>
      <c r="AJ23" s="8"/>
      <c r="AK23" s="8"/>
      <c r="AL23" s="8"/>
      <c r="AM23" s="8"/>
      <c r="AN23" s="10"/>
    </row>
    <row r="24" spans="1:40" ht="13.5">
      <c r="A24" s="15" t="s">
        <v>7</v>
      </c>
      <c r="B24" s="16"/>
      <c r="C24" s="16"/>
      <c r="D24" s="16"/>
      <c r="E24" s="16"/>
      <c r="F24" s="16"/>
      <c r="G24" s="16"/>
      <c r="H24" s="16"/>
      <c r="I24" s="17"/>
      <c r="J24" s="16"/>
      <c r="K24" s="16"/>
      <c r="L24" s="18"/>
      <c r="M24" s="18"/>
      <c r="N24" s="18"/>
      <c r="O24" s="18"/>
      <c r="P24" s="16"/>
      <c r="Q24" s="16"/>
      <c r="R24" s="16"/>
      <c r="S24" s="16"/>
      <c r="T24" s="16"/>
      <c r="U24" s="16"/>
      <c r="V24" s="6"/>
      <c r="W24" s="6"/>
      <c r="X24" s="6"/>
      <c r="Y24" s="6"/>
      <c r="Z24" s="6"/>
      <c r="AA24" s="6"/>
      <c r="AB24" s="8"/>
      <c r="AC24" s="8"/>
      <c r="AD24" s="8"/>
      <c r="AE24" s="8"/>
      <c r="AF24" s="8"/>
      <c r="AG24" s="8"/>
      <c r="AH24" s="8"/>
      <c r="AI24" s="9"/>
      <c r="AJ24" s="8"/>
      <c r="AK24" s="8"/>
      <c r="AL24" s="8"/>
      <c r="AM24" s="8"/>
      <c r="AN24" s="10"/>
    </row>
    <row r="25" spans="1:40" ht="13.5">
      <c r="A25" s="19" t="s">
        <v>4</v>
      </c>
      <c r="B25" s="16" t="s">
        <v>1</v>
      </c>
      <c r="C25" s="16" t="s">
        <v>1</v>
      </c>
      <c r="D25" s="16" t="s">
        <v>1</v>
      </c>
      <c r="E25" s="16">
        <v>0.61416</v>
      </c>
      <c r="F25" s="16">
        <v>0.866648</v>
      </c>
      <c r="G25" s="16">
        <v>1.00654</v>
      </c>
      <c r="H25" s="16">
        <v>1.12596</v>
      </c>
      <c r="I25" s="17">
        <v>1.033836</v>
      </c>
      <c r="J25" s="17">
        <v>1</v>
      </c>
      <c r="K25" s="17">
        <v>1</v>
      </c>
      <c r="L25" s="17">
        <v>1.054308</v>
      </c>
      <c r="M25" s="17">
        <v>1.037248</v>
      </c>
      <c r="N25" s="17">
        <v>0.999716</v>
      </c>
      <c r="O25" s="17">
        <v>0.962184</v>
      </c>
      <c r="P25" s="16">
        <v>1</v>
      </c>
      <c r="Q25" s="16">
        <f>283*3412/10^6</f>
        <v>0.965596</v>
      </c>
      <c r="R25" s="16">
        <f>350*3412/10^6</f>
        <v>1.1942</v>
      </c>
      <c r="S25" s="16">
        <f>376.609508242*3412/10^6</f>
        <v>1.284991642121704</v>
      </c>
      <c r="T25" s="16" t="s">
        <v>84</v>
      </c>
      <c r="U25" s="16" t="s">
        <v>84</v>
      </c>
      <c r="V25" s="6"/>
      <c r="W25" s="6"/>
      <c r="X25" s="6"/>
      <c r="Y25" s="6"/>
      <c r="Z25" s="6"/>
      <c r="AA25" s="6"/>
      <c r="AB25" s="8"/>
      <c r="AC25" s="8"/>
      <c r="AD25" s="8"/>
      <c r="AE25" s="8"/>
      <c r="AF25" s="8"/>
      <c r="AG25" s="8"/>
      <c r="AH25" s="8"/>
      <c r="AI25" s="9"/>
      <c r="AJ25" s="8"/>
      <c r="AK25" s="8"/>
      <c r="AL25" s="8"/>
      <c r="AM25" s="8"/>
      <c r="AN25" s="10"/>
    </row>
    <row r="26" spans="1:40" ht="13.5">
      <c r="A26" s="19" t="s">
        <v>42</v>
      </c>
      <c r="B26" s="16" t="s">
        <v>1</v>
      </c>
      <c r="C26" s="16" t="s">
        <v>1</v>
      </c>
      <c r="D26" s="16" t="s">
        <v>1</v>
      </c>
      <c r="E26" s="16">
        <v>8.7381</v>
      </c>
      <c r="F26" s="16">
        <v>8.8768</v>
      </c>
      <c r="G26" s="16">
        <v>9.0155</v>
      </c>
      <c r="H26" s="16">
        <v>11.373399999999998</v>
      </c>
      <c r="I26" s="17">
        <v>11.373399999999998</v>
      </c>
      <c r="J26" s="16">
        <v>11.373399999999998</v>
      </c>
      <c r="K26" s="16">
        <v>11.512099999999998</v>
      </c>
      <c r="L26" s="18">
        <v>10.4025</v>
      </c>
      <c r="M26" s="18">
        <v>9.1542</v>
      </c>
      <c r="N26" s="18">
        <v>9.8477</v>
      </c>
      <c r="O26" s="18">
        <v>10.4025</v>
      </c>
      <c r="P26" s="16">
        <v>10</v>
      </c>
      <c r="Q26" s="16">
        <f>74*138700/10^6</f>
        <v>10.2638</v>
      </c>
      <c r="R26" s="16">
        <f>76*138700/10^6</f>
        <v>10.5412</v>
      </c>
      <c r="S26" s="16">
        <f>74.884667*138700/10^6</f>
        <v>10.386503312899999</v>
      </c>
      <c r="T26" s="16" t="s">
        <v>84</v>
      </c>
      <c r="U26" s="16" t="s">
        <v>84</v>
      </c>
      <c r="V26" s="6"/>
      <c r="W26" s="6"/>
      <c r="X26" s="6"/>
      <c r="Y26" s="6"/>
      <c r="Z26" s="6"/>
      <c r="AA26" s="6"/>
      <c r="AB26" s="8"/>
      <c r="AC26" s="8"/>
      <c r="AD26" s="8"/>
      <c r="AE26" s="8"/>
      <c r="AF26" s="8"/>
      <c r="AG26" s="8"/>
      <c r="AH26" s="8"/>
      <c r="AI26" s="9"/>
      <c r="AJ26" s="8"/>
      <c r="AK26" s="8"/>
      <c r="AL26" s="8"/>
      <c r="AM26" s="8"/>
      <c r="AN26" s="10"/>
    </row>
    <row r="27" spans="1:40" ht="15.75">
      <c r="A27" s="15" t="s">
        <v>8</v>
      </c>
      <c r="B27" s="16"/>
      <c r="C27" s="16"/>
      <c r="D27" s="16"/>
      <c r="E27" s="16"/>
      <c r="F27" s="16"/>
      <c r="G27" s="16"/>
      <c r="H27" s="16"/>
      <c r="I27" s="17"/>
      <c r="J27" s="16"/>
      <c r="K27" s="16"/>
      <c r="L27" s="18"/>
      <c r="M27" s="18"/>
      <c r="N27" s="18"/>
      <c r="O27" s="18"/>
      <c r="P27" s="16"/>
      <c r="Q27" s="16"/>
      <c r="R27" s="16"/>
      <c r="S27" s="16"/>
      <c r="T27" s="16"/>
      <c r="U27" s="62"/>
      <c r="V27" s="6"/>
      <c r="W27" s="6"/>
      <c r="X27" s="7"/>
      <c r="Y27" s="7"/>
      <c r="Z27" s="7"/>
      <c r="AA27" s="7"/>
      <c r="AB27" s="8"/>
      <c r="AC27" s="8"/>
      <c r="AD27" s="8"/>
      <c r="AE27" s="8"/>
      <c r="AF27" s="8"/>
      <c r="AG27" s="8"/>
      <c r="AH27" s="8"/>
      <c r="AI27" s="9"/>
      <c r="AJ27" s="8"/>
      <c r="AK27" s="8"/>
      <c r="AL27" s="8"/>
      <c r="AM27" s="8"/>
      <c r="AN27" s="10"/>
    </row>
    <row r="28" spans="1:40" ht="13.5">
      <c r="A28" s="19" t="s">
        <v>9</v>
      </c>
      <c r="B28" s="16">
        <v>591.6144</v>
      </c>
      <c r="C28" s="16">
        <v>463.0221</v>
      </c>
      <c r="D28" s="16">
        <v>564.9678</v>
      </c>
      <c r="E28" s="16">
        <v>607.782</v>
      </c>
      <c r="F28" s="16">
        <v>1340.1144</v>
      </c>
      <c r="G28" s="16">
        <v>687.123</v>
      </c>
      <c r="H28" s="16">
        <v>947.0022</v>
      </c>
      <c r="I28" s="17">
        <f>6773174*149700/10^9</f>
        <v>1013.9441478</v>
      </c>
      <c r="J28" s="17">
        <f>6563220*149700/10^9</f>
        <v>982.514034</v>
      </c>
      <c r="K28" s="16">
        <f>5281869*149700/10^9</f>
        <v>790.6957893</v>
      </c>
      <c r="L28" s="18">
        <f>5386407*149700/10^9</f>
        <v>806.3451279</v>
      </c>
      <c r="M28" s="18">
        <f>5886409*149700/10^9</f>
        <v>881.1954273</v>
      </c>
      <c r="N28" s="18">
        <f>5701233*149700/10^9</f>
        <v>853.4745801</v>
      </c>
      <c r="O28" s="18">
        <f>5010059*149700/10^9</f>
        <v>750.0058323</v>
      </c>
      <c r="P28" s="16">
        <f>5620417*149700/10^9</f>
        <v>841.3764249</v>
      </c>
      <c r="Q28" s="16">
        <f>5838128*149700/10^9</f>
        <v>873.9677616</v>
      </c>
      <c r="R28" s="16">
        <f>6409863*149700/10^9</f>
        <v>959.5564911</v>
      </c>
      <c r="S28" s="16">
        <f>5409378*149700/10^9</f>
        <v>809.7838866</v>
      </c>
      <c r="T28" s="16">
        <f>4847704*149700/10^9</f>
        <v>725.7012888</v>
      </c>
      <c r="U28" s="103">
        <f>3873849*149700/10^9</f>
        <v>579.9151953</v>
      </c>
      <c r="V28" s="6"/>
      <c r="W28" s="6"/>
      <c r="X28" s="6"/>
      <c r="Y28" s="6"/>
      <c r="Z28" s="6"/>
      <c r="AA28" s="6"/>
      <c r="AB28" s="8"/>
      <c r="AC28" s="8"/>
      <c r="AD28" s="8"/>
      <c r="AE28" s="8"/>
      <c r="AF28" s="8"/>
      <c r="AG28" s="8"/>
      <c r="AH28" s="8"/>
      <c r="AI28" s="9"/>
      <c r="AJ28" s="8"/>
      <c r="AK28" s="8"/>
      <c r="AL28" s="8"/>
      <c r="AM28" s="8"/>
      <c r="AN28" s="10"/>
    </row>
    <row r="29" spans="1:40" ht="13.5">
      <c r="A29" s="19" t="s">
        <v>43</v>
      </c>
      <c r="B29" s="16">
        <v>109.1569</v>
      </c>
      <c r="C29" s="16">
        <v>90.43239999999999</v>
      </c>
      <c r="D29" s="16">
        <v>113.5953</v>
      </c>
      <c r="E29" s="16">
        <v>152.2926</v>
      </c>
      <c r="F29" s="16">
        <v>204.99859999999998</v>
      </c>
      <c r="G29" s="16">
        <v>235.6513</v>
      </c>
      <c r="H29" s="16">
        <v>286.41549999999995</v>
      </c>
      <c r="I29" s="17">
        <v>283.7802</v>
      </c>
      <c r="J29" s="16">
        <v>307.77529999999996</v>
      </c>
      <c r="K29" s="16">
        <v>298.89849999999996</v>
      </c>
      <c r="L29" s="18">
        <f>2189346*138700/10^9</f>
        <v>303.6622902</v>
      </c>
      <c r="M29" s="18">
        <f>2339010*138700/10^9</f>
        <v>324.420687</v>
      </c>
      <c r="N29" s="18">
        <f>2490793*138700/10^9</f>
        <v>345.4729891</v>
      </c>
      <c r="O29" s="18">
        <f>2573800*138700/10^9</f>
        <v>356.98606</v>
      </c>
      <c r="P29" s="16">
        <f>2595076*138700/10^9</f>
        <v>359.9370412</v>
      </c>
      <c r="Q29" s="16">
        <f>2419336*138700/10^9</f>
        <v>335.5619032</v>
      </c>
      <c r="R29" s="16">
        <f>2261422*138700/10^9</f>
        <v>313.6592314</v>
      </c>
      <c r="S29" s="16">
        <f>2044049*138700/10^9</f>
        <v>283.5095963</v>
      </c>
      <c r="T29" s="16">
        <f>2078921*138700/10^9</f>
        <v>288.3463427</v>
      </c>
      <c r="U29" s="105">
        <f>2216921*138700/10^9</f>
        <v>307.4869427</v>
      </c>
      <c r="V29" s="6"/>
      <c r="W29" s="6"/>
      <c r="X29" s="6"/>
      <c r="Y29" s="6"/>
      <c r="Z29" s="6"/>
      <c r="AA29" s="6"/>
      <c r="AB29" s="8"/>
      <c r="AC29" s="8"/>
      <c r="AD29" s="8"/>
      <c r="AE29" s="8"/>
      <c r="AF29" s="8"/>
      <c r="AG29" s="8"/>
      <c r="AH29" s="8"/>
      <c r="AI29" s="9"/>
      <c r="AJ29" s="8"/>
      <c r="AK29" s="8"/>
      <c r="AL29" s="8"/>
      <c r="AM29" s="8"/>
      <c r="AN29" s="12"/>
    </row>
    <row r="30" spans="1:40" ht="13.5">
      <c r="A30" s="19" t="s">
        <v>10</v>
      </c>
      <c r="B30" s="16" t="s">
        <v>1</v>
      </c>
      <c r="C30" s="16" t="s">
        <v>1</v>
      </c>
      <c r="D30" s="16">
        <v>74.75</v>
      </c>
      <c r="E30" s="16">
        <v>91.25</v>
      </c>
      <c r="F30" s="16">
        <v>131.5</v>
      </c>
      <c r="G30" s="16">
        <v>131.625</v>
      </c>
      <c r="H30" s="16">
        <v>162.5</v>
      </c>
      <c r="I30" s="17">
        <v>213.75</v>
      </c>
      <c r="J30" s="16">
        <f>1316170*125000/10^9</f>
        <v>164.52125</v>
      </c>
      <c r="K30" s="16">
        <f>873687*125000/10^9</f>
        <v>109.210875</v>
      </c>
      <c r="L30" s="16">
        <f>875530*125000/10^9</f>
        <v>109.44125</v>
      </c>
      <c r="M30" s="18">
        <f>1060394*125000/10^9</f>
        <v>132.54925</v>
      </c>
      <c r="N30" s="18">
        <f>993671*125000/10^9</f>
        <v>124.208875</v>
      </c>
      <c r="O30" s="18">
        <f>987193*125000/10^9</f>
        <v>123.399125</v>
      </c>
      <c r="P30" s="16">
        <f>956232*125000/10^9</f>
        <v>119.529</v>
      </c>
      <c r="Q30" s="16">
        <f>1098137*125000/10^9</f>
        <v>137.267125</v>
      </c>
      <c r="R30" s="16">
        <f>1124269*125000/10^9</f>
        <v>140.533625</v>
      </c>
      <c r="S30" s="16">
        <f>993837*125000/10^9</f>
        <v>124.229625</v>
      </c>
      <c r="T30" s="16">
        <f>1081157*125000/10^9</f>
        <v>135.144625</v>
      </c>
      <c r="U30" s="105">
        <f>1107463*125000/10^9</f>
        <v>138.432875</v>
      </c>
      <c r="V30" s="6"/>
      <c r="W30" s="6"/>
      <c r="X30" s="6"/>
      <c r="Y30" s="6"/>
      <c r="Z30" s="6"/>
      <c r="AA30" s="6"/>
      <c r="AB30" s="8"/>
      <c r="AC30" s="8"/>
      <c r="AD30" s="8"/>
      <c r="AE30" s="8"/>
      <c r="AF30" s="8"/>
      <c r="AG30" s="8"/>
      <c r="AH30" s="8"/>
      <c r="AI30" s="9"/>
      <c r="AJ30" s="8"/>
      <c r="AK30" s="8"/>
      <c r="AL30" s="8"/>
      <c r="AM30" s="8"/>
      <c r="AN30" s="10"/>
    </row>
    <row r="31" spans="1:40" ht="13.5">
      <c r="A31" s="15" t="s">
        <v>11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6"/>
      <c r="Q31" s="16"/>
      <c r="R31" s="16"/>
      <c r="S31" s="16"/>
      <c r="T31" s="16"/>
      <c r="U31" s="16"/>
      <c r="V31" s="6"/>
      <c r="W31" s="6"/>
      <c r="X31" s="6"/>
      <c r="Y31" s="6"/>
      <c r="Z31" s="6"/>
      <c r="AA31" s="6"/>
      <c r="AB31" s="8"/>
      <c r="AC31" s="8"/>
      <c r="AD31" s="8"/>
      <c r="AE31" s="8"/>
      <c r="AF31" s="8"/>
      <c r="AG31" s="8"/>
      <c r="AH31" s="8"/>
      <c r="AI31" s="9"/>
      <c r="AJ31" s="8"/>
      <c r="AK31" s="8"/>
      <c r="AL31" s="8"/>
      <c r="AM31" s="8"/>
      <c r="AN31" s="8"/>
    </row>
    <row r="32" spans="1:40" ht="14.25" thickBot="1">
      <c r="A32" s="22" t="s">
        <v>12</v>
      </c>
      <c r="B32" s="23">
        <f>347075*1031/10^6</f>
        <v>357.834325</v>
      </c>
      <c r="C32" s="23">
        <f>500524*1031/10^6</f>
        <v>516.040244</v>
      </c>
      <c r="D32" s="23">
        <f>722166*1031/10^6</f>
        <v>744.553146</v>
      </c>
      <c r="E32" s="23">
        <f>582963*1031/10^6</f>
        <v>601.034853</v>
      </c>
      <c r="F32" s="23">
        <f>634622*1031/10^6</f>
        <v>654.295282</v>
      </c>
      <c r="G32" s="23">
        <f>503766*1031/10^6</f>
        <v>519.382746</v>
      </c>
      <c r="H32" s="23">
        <f>659816*1031/10^6</f>
        <v>680.270296</v>
      </c>
      <c r="I32" s="24">
        <f>601305*1031/10^6</f>
        <v>619.945455</v>
      </c>
      <c r="J32" s="23">
        <f>587710*1031/10^6</f>
        <v>605.92901</v>
      </c>
      <c r="K32" s="23">
        <f>624308*1031/10^6</f>
        <v>643.661548</v>
      </c>
      <c r="L32" s="25">
        <f>685362*1031/10^6</f>
        <v>706.608222</v>
      </c>
      <c r="M32" s="25">
        <f>700335*1031/10^6</f>
        <v>722.045385</v>
      </c>
      <c r="N32" s="25">
        <f>711446*1031/10^6</f>
        <v>733.500826</v>
      </c>
      <c r="O32" s="25">
        <f>751470*1031/10^6</f>
        <v>774.76557</v>
      </c>
      <c r="P32" s="23">
        <f>635477*1031/10^6</f>
        <v>655.176787</v>
      </c>
      <c r="Q32" s="23">
        <f>645319*1031/10^6</f>
        <v>665.323889</v>
      </c>
      <c r="R32" s="23">
        <f>642210*1031/10^6</f>
        <v>662.11851</v>
      </c>
      <c r="S32" s="23">
        <f>624964*1031/10^6</f>
        <v>644.337884</v>
      </c>
      <c r="T32" s="106">
        <f>666920*1031/10^6</f>
        <v>687.59452</v>
      </c>
      <c r="U32" s="107">
        <f>664973*1031/10^6</f>
        <v>685.587163</v>
      </c>
      <c r="V32" s="6"/>
      <c r="W32" s="6"/>
      <c r="X32" s="6"/>
      <c r="Y32" s="6"/>
      <c r="Z32" s="6"/>
      <c r="AA32" s="6"/>
      <c r="AB32" s="8"/>
      <c r="AC32" s="8"/>
      <c r="AD32" s="8"/>
      <c r="AE32" s="8"/>
      <c r="AF32" s="8"/>
      <c r="AG32" s="8"/>
      <c r="AH32" s="8"/>
      <c r="AI32" s="9"/>
      <c r="AJ32" s="8"/>
      <c r="AK32" s="8"/>
      <c r="AL32" s="8"/>
      <c r="AM32" s="8"/>
      <c r="AN32" s="8"/>
    </row>
    <row r="33" spans="1:40" s="46" customFormat="1" ht="13.5" customHeight="1">
      <c r="A33" s="96" t="s">
        <v>85</v>
      </c>
      <c r="B33" s="96"/>
      <c r="C33" s="96"/>
      <c r="D33" s="96"/>
      <c r="E33" s="96"/>
      <c r="F33" s="96"/>
      <c r="G33" s="96"/>
      <c r="H33" s="96"/>
      <c r="I33" s="96"/>
      <c r="J33" s="57"/>
      <c r="K33" s="41"/>
      <c r="L33" s="42"/>
      <c r="M33" s="42"/>
      <c r="N33" s="42"/>
      <c r="O33" s="42"/>
      <c r="P33" s="41"/>
      <c r="Q33" s="41"/>
      <c r="R33" s="41"/>
      <c r="S33" s="43"/>
      <c r="T33" s="43"/>
      <c r="U33" s="16"/>
      <c r="V33" s="43"/>
      <c r="W33" s="43"/>
      <c r="X33" s="43"/>
      <c r="Y33" s="43"/>
      <c r="Z33" s="43"/>
      <c r="AA33" s="43"/>
      <c r="AB33" s="44"/>
      <c r="AC33" s="44"/>
      <c r="AD33" s="44"/>
      <c r="AE33" s="44"/>
      <c r="AF33" s="44"/>
      <c r="AG33" s="44"/>
      <c r="AH33" s="44"/>
      <c r="AI33" s="45"/>
      <c r="AJ33" s="44"/>
      <c r="AK33" s="44"/>
      <c r="AL33" s="44"/>
      <c r="AM33" s="44"/>
      <c r="AN33" s="44"/>
    </row>
    <row r="34" spans="1:40" s="46" customFormat="1" ht="14.25">
      <c r="A34" s="94"/>
      <c r="B34" s="90"/>
      <c r="C34" s="90"/>
      <c r="D34" s="90"/>
      <c r="E34" s="90"/>
      <c r="F34" s="90"/>
      <c r="G34" s="90"/>
      <c r="H34" s="90"/>
      <c r="I34" s="90"/>
      <c r="J34" s="41"/>
      <c r="K34" s="41"/>
      <c r="L34" s="42"/>
      <c r="M34" s="42"/>
      <c r="N34" s="42"/>
      <c r="O34" s="42"/>
      <c r="P34" s="41"/>
      <c r="Q34" s="41"/>
      <c r="R34" s="41"/>
      <c r="S34" s="43"/>
      <c r="T34" s="43"/>
      <c r="U34" s="16"/>
      <c r="V34" s="43"/>
      <c r="W34" s="43"/>
      <c r="X34" s="43"/>
      <c r="Y34" s="43"/>
      <c r="Z34" s="43"/>
      <c r="AA34" s="43"/>
      <c r="AB34" s="44"/>
      <c r="AC34" s="44"/>
      <c r="AD34" s="44"/>
      <c r="AE34" s="44"/>
      <c r="AF34" s="44"/>
      <c r="AG34" s="44"/>
      <c r="AH34" s="44"/>
      <c r="AI34" s="45"/>
      <c r="AJ34" s="44"/>
      <c r="AK34" s="44"/>
      <c r="AL34" s="44"/>
      <c r="AM34" s="44"/>
      <c r="AN34" s="44"/>
    </row>
    <row r="35" spans="1:21" s="46" customFormat="1" ht="13.5" customHeight="1">
      <c r="A35" s="95" t="s">
        <v>29</v>
      </c>
      <c r="B35" s="95"/>
      <c r="C35" s="95"/>
      <c r="D35" s="95"/>
      <c r="E35" s="95"/>
      <c r="F35" s="95"/>
      <c r="G35" s="95"/>
      <c r="H35" s="95"/>
      <c r="I35" s="95"/>
      <c r="J35" s="34"/>
      <c r="K35" s="34"/>
      <c r="L35" s="34"/>
      <c r="M35" s="34"/>
      <c r="N35" s="34"/>
      <c r="O35" s="34"/>
      <c r="U35" s="20"/>
    </row>
    <row r="36" spans="1:21" s="46" customFormat="1" ht="13.5" customHeight="1">
      <c r="A36" s="93" t="s">
        <v>30</v>
      </c>
      <c r="B36" s="93"/>
      <c r="C36" s="93"/>
      <c r="D36" s="93"/>
      <c r="E36" s="93"/>
      <c r="F36" s="93"/>
      <c r="G36" s="93"/>
      <c r="H36" s="93"/>
      <c r="I36" s="93"/>
      <c r="J36" s="35"/>
      <c r="K36" s="35"/>
      <c r="L36" s="35"/>
      <c r="M36" s="35"/>
      <c r="N36" s="35"/>
      <c r="O36" s="35"/>
      <c r="U36" s="20"/>
    </row>
    <row r="37" spans="1:21" s="46" customFormat="1" ht="27" customHeight="1">
      <c r="A37" s="83" t="s">
        <v>34</v>
      </c>
      <c r="B37" s="83"/>
      <c r="C37" s="83"/>
      <c r="D37" s="83"/>
      <c r="E37" s="88"/>
      <c r="F37" s="88"/>
      <c r="G37" s="88"/>
      <c r="H37" s="88"/>
      <c r="I37" s="88"/>
      <c r="J37" s="31"/>
      <c r="K37" s="31"/>
      <c r="L37" s="31"/>
      <c r="M37" s="31"/>
      <c r="N37" s="31"/>
      <c r="O37" s="31"/>
      <c r="U37" s="20"/>
    </row>
    <row r="38" spans="1:21" s="46" customFormat="1" ht="13.5" customHeight="1">
      <c r="A38" s="93" t="s">
        <v>53</v>
      </c>
      <c r="B38" s="88"/>
      <c r="C38" s="88"/>
      <c r="D38" s="88"/>
      <c r="E38" s="88"/>
      <c r="F38" s="88"/>
      <c r="G38" s="88"/>
      <c r="H38" s="88"/>
      <c r="I38" s="88"/>
      <c r="J38" s="27"/>
      <c r="K38" s="27"/>
      <c r="L38" s="27"/>
      <c r="M38" s="27"/>
      <c r="N38" s="27"/>
      <c r="O38" s="27"/>
      <c r="U38" s="20"/>
    </row>
    <row r="39" spans="1:21" s="46" customFormat="1" ht="13.5" customHeight="1">
      <c r="A39" s="99" t="s">
        <v>31</v>
      </c>
      <c r="B39" s="88"/>
      <c r="C39" s="88"/>
      <c r="D39" s="88"/>
      <c r="E39" s="88"/>
      <c r="F39" s="88"/>
      <c r="G39" s="88"/>
      <c r="H39" s="88"/>
      <c r="I39" s="88"/>
      <c r="J39" s="35"/>
      <c r="K39" s="35"/>
      <c r="L39" s="35"/>
      <c r="M39" s="35"/>
      <c r="N39" s="35"/>
      <c r="O39" s="35"/>
      <c r="U39" s="20"/>
    </row>
    <row r="40" spans="1:21" s="46" customFormat="1" ht="13.5">
      <c r="A40" s="87"/>
      <c r="B40" s="87"/>
      <c r="C40" s="87"/>
      <c r="D40" s="87"/>
      <c r="E40" s="87"/>
      <c r="F40" s="87"/>
      <c r="G40" s="87"/>
      <c r="H40" s="87"/>
      <c r="I40" s="87"/>
      <c r="J40" s="27"/>
      <c r="K40" s="27"/>
      <c r="L40" s="27"/>
      <c r="M40" s="27"/>
      <c r="N40" s="27"/>
      <c r="O40" s="27"/>
      <c r="U40" s="20"/>
    </row>
    <row r="41" spans="1:21" s="46" customFormat="1" ht="13.5" customHeight="1">
      <c r="A41" s="100" t="s">
        <v>39</v>
      </c>
      <c r="B41" s="88"/>
      <c r="C41" s="88"/>
      <c r="D41" s="88"/>
      <c r="E41" s="88"/>
      <c r="F41" s="88"/>
      <c r="G41" s="88"/>
      <c r="H41" s="88"/>
      <c r="I41" s="88"/>
      <c r="J41" s="28"/>
      <c r="K41" s="28"/>
      <c r="L41" s="30"/>
      <c r="M41" s="30"/>
      <c r="N41" s="30"/>
      <c r="O41" s="29"/>
      <c r="U41" s="20"/>
    </row>
    <row r="42" spans="1:21" s="46" customFormat="1" ht="13.5">
      <c r="A42" s="87" t="s">
        <v>38</v>
      </c>
      <c r="B42" s="88"/>
      <c r="C42" s="88"/>
      <c r="D42" s="88"/>
      <c r="E42" s="88"/>
      <c r="F42" s="88"/>
      <c r="G42" s="88"/>
      <c r="H42" s="88"/>
      <c r="I42" s="88"/>
      <c r="J42" s="28"/>
      <c r="K42" s="28"/>
      <c r="L42" s="30"/>
      <c r="M42" s="30"/>
      <c r="N42" s="30"/>
      <c r="O42" s="29"/>
      <c r="U42" s="20"/>
    </row>
    <row r="43" spans="1:21" s="46" customFormat="1" ht="12.75" customHeight="1">
      <c r="A43" s="59" t="s">
        <v>44</v>
      </c>
      <c r="B43" s="59"/>
      <c r="C43" s="87" t="s">
        <v>48</v>
      </c>
      <c r="D43" s="87"/>
      <c r="E43" s="87"/>
      <c r="F43" s="87"/>
      <c r="G43" s="87"/>
      <c r="H43" s="87"/>
      <c r="I43" s="87"/>
      <c r="J43" s="27"/>
      <c r="K43" s="27"/>
      <c r="L43" s="27"/>
      <c r="M43" s="27"/>
      <c r="N43" s="27"/>
      <c r="O43" s="27"/>
      <c r="U43" s="20"/>
    </row>
    <row r="44" spans="1:21" s="46" customFormat="1" ht="12.75" customHeight="1">
      <c r="A44" s="65" t="s">
        <v>45</v>
      </c>
      <c r="B44" s="66"/>
      <c r="C44" s="87" t="s">
        <v>49</v>
      </c>
      <c r="D44" s="87"/>
      <c r="E44" s="87"/>
      <c r="F44" s="87"/>
      <c r="G44" s="87"/>
      <c r="H44" s="87"/>
      <c r="I44" s="87"/>
      <c r="J44" s="27"/>
      <c r="K44" s="31"/>
      <c r="L44" s="27"/>
      <c r="M44" s="31"/>
      <c r="N44" s="31"/>
      <c r="O44" s="27"/>
      <c r="U44" s="20"/>
    </row>
    <row r="45" spans="1:21" s="46" customFormat="1" ht="12.75" customHeight="1">
      <c r="A45" s="65" t="s">
        <v>46</v>
      </c>
      <c r="B45" s="66"/>
      <c r="C45" s="87" t="s">
        <v>50</v>
      </c>
      <c r="D45" s="87"/>
      <c r="E45" s="87"/>
      <c r="F45" s="87"/>
      <c r="G45" s="87"/>
      <c r="H45" s="87"/>
      <c r="I45" s="87"/>
      <c r="J45" s="27"/>
      <c r="K45" s="31"/>
      <c r="L45" s="27"/>
      <c r="M45" s="31"/>
      <c r="N45" s="31"/>
      <c r="O45" s="27"/>
      <c r="U45" s="20"/>
    </row>
    <row r="46" spans="1:21" s="46" customFormat="1" ht="12.75" customHeight="1">
      <c r="A46" s="65" t="s">
        <v>47</v>
      </c>
      <c r="B46" s="66"/>
      <c r="C46" s="87" t="s">
        <v>32</v>
      </c>
      <c r="D46" s="88"/>
      <c r="E46" s="88"/>
      <c r="F46" s="88"/>
      <c r="G46" s="88"/>
      <c r="H46" s="88"/>
      <c r="I46" s="88"/>
      <c r="J46" s="27"/>
      <c r="K46" s="31"/>
      <c r="L46" s="27"/>
      <c r="M46" s="31"/>
      <c r="N46" s="31"/>
      <c r="O46" s="27"/>
      <c r="U46" s="20"/>
    </row>
    <row r="47" spans="1:21" s="46" customFormat="1" ht="24" customHeight="1">
      <c r="A47" s="87" t="s">
        <v>35</v>
      </c>
      <c r="B47" s="82"/>
      <c r="C47" s="82"/>
      <c r="D47" s="82"/>
      <c r="E47" s="82"/>
      <c r="F47" s="82"/>
      <c r="G47" s="82"/>
      <c r="H47" s="82"/>
      <c r="I47" s="82"/>
      <c r="J47" s="27"/>
      <c r="K47" s="31"/>
      <c r="L47" s="27"/>
      <c r="M47" s="31"/>
      <c r="N47" s="31"/>
      <c r="O47" s="27"/>
      <c r="U47" s="20"/>
    </row>
    <row r="48" spans="1:21" s="46" customFormat="1" ht="12" customHeight="1">
      <c r="A48" s="87"/>
      <c r="B48" s="90"/>
      <c r="C48" s="90"/>
      <c r="D48" s="90"/>
      <c r="E48" s="90"/>
      <c r="F48" s="90"/>
      <c r="G48" s="90"/>
      <c r="H48" s="90"/>
      <c r="I48" s="90"/>
      <c r="J48" s="40"/>
      <c r="K48" s="40"/>
      <c r="L48" s="40"/>
      <c r="M48" s="40"/>
      <c r="N48" s="40"/>
      <c r="O48" s="40"/>
      <c r="U48" s="20"/>
    </row>
    <row r="49" spans="1:21" s="46" customFormat="1" ht="13.5" customHeight="1">
      <c r="A49" s="91" t="s">
        <v>40</v>
      </c>
      <c r="B49" s="92"/>
      <c r="C49" s="92"/>
      <c r="D49" s="92"/>
      <c r="E49" s="92"/>
      <c r="F49" s="92"/>
      <c r="G49" s="92"/>
      <c r="H49" s="92"/>
      <c r="I49" s="92"/>
      <c r="J49" s="32"/>
      <c r="K49" s="32"/>
      <c r="L49" s="32"/>
      <c r="M49" s="32"/>
      <c r="N49" s="32"/>
      <c r="O49" s="32"/>
      <c r="U49" s="20"/>
    </row>
    <row r="50" spans="1:21" s="54" customFormat="1" ht="13.5" customHeight="1">
      <c r="A50" s="97" t="s">
        <v>22</v>
      </c>
      <c r="B50" s="98"/>
      <c r="C50" s="98"/>
      <c r="D50" s="98"/>
      <c r="E50" s="98"/>
      <c r="F50" s="98"/>
      <c r="G50" s="98"/>
      <c r="H50" s="98"/>
      <c r="I50" s="67"/>
      <c r="J50" s="29"/>
      <c r="K50" s="29"/>
      <c r="L50" s="29"/>
      <c r="M50" s="29"/>
      <c r="N50" s="29"/>
      <c r="O50" s="29"/>
      <c r="U50" s="63"/>
    </row>
    <row r="51" spans="1:60" s="56" customFormat="1" ht="12" customHeight="1">
      <c r="A51" s="85" t="s">
        <v>23</v>
      </c>
      <c r="B51" s="98"/>
      <c r="C51" s="98"/>
      <c r="D51" s="98"/>
      <c r="E51" s="98"/>
      <c r="F51" s="98"/>
      <c r="G51" s="98"/>
      <c r="H51" s="98"/>
      <c r="I51" s="68"/>
      <c r="J51" s="36"/>
      <c r="K51" s="36"/>
      <c r="L51" s="36"/>
      <c r="M51" s="36"/>
      <c r="N51" s="36"/>
      <c r="O51" s="36"/>
      <c r="P51" s="55"/>
      <c r="Q51" s="55"/>
      <c r="R51" s="55"/>
      <c r="S51" s="55"/>
      <c r="T51" s="55"/>
      <c r="U51" s="60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</row>
    <row r="52" spans="1:21" s="54" customFormat="1" ht="24" customHeight="1">
      <c r="A52" s="89" t="s">
        <v>86</v>
      </c>
      <c r="B52" s="89"/>
      <c r="C52" s="89"/>
      <c r="D52" s="89"/>
      <c r="E52" s="89"/>
      <c r="F52" s="89"/>
      <c r="G52" s="89"/>
      <c r="H52" s="89"/>
      <c r="I52" s="69"/>
      <c r="J52" s="37"/>
      <c r="K52" s="37"/>
      <c r="L52" s="37"/>
      <c r="M52" s="37"/>
      <c r="N52" s="37"/>
      <c r="O52" s="37"/>
      <c r="U52" s="63"/>
    </row>
    <row r="53" spans="1:21" s="54" customFormat="1" ht="13.5" customHeight="1">
      <c r="A53" s="85" t="s">
        <v>13</v>
      </c>
      <c r="B53" s="85"/>
      <c r="C53" s="85"/>
      <c r="D53" s="85"/>
      <c r="E53" s="85"/>
      <c r="F53" s="85"/>
      <c r="G53" s="85"/>
      <c r="H53" s="85"/>
      <c r="I53" s="70"/>
      <c r="J53" s="38"/>
      <c r="K53" s="38"/>
      <c r="L53" s="38"/>
      <c r="M53" s="38"/>
      <c r="N53" s="38"/>
      <c r="O53" s="38"/>
      <c r="U53" s="63"/>
    </row>
    <row r="54" spans="1:21" s="54" customFormat="1" ht="24" customHeight="1">
      <c r="A54" s="84" t="s">
        <v>80</v>
      </c>
      <c r="B54" s="84"/>
      <c r="C54" s="84"/>
      <c r="D54" s="84"/>
      <c r="E54" s="84"/>
      <c r="F54" s="84"/>
      <c r="G54" s="84"/>
      <c r="H54" s="84"/>
      <c r="I54" s="71"/>
      <c r="J54" s="33"/>
      <c r="K54" s="33"/>
      <c r="L54" s="33"/>
      <c r="M54" s="33"/>
      <c r="N54" s="33"/>
      <c r="O54" s="33"/>
      <c r="U54" s="63"/>
    </row>
    <row r="55" spans="1:21" s="54" customFormat="1" ht="24" customHeight="1">
      <c r="A55" s="84" t="s">
        <v>81</v>
      </c>
      <c r="B55" s="84"/>
      <c r="C55" s="84"/>
      <c r="D55" s="84"/>
      <c r="E55" s="84"/>
      <c r="F55" s="84"/>
      <c r="G55" s="84"/>
      <c r="H55" s="84"/>
      <c r="I55" s="72"/>
      <c r="J55" s="33"/>
      <c r="K55" s="33"/>
      <c r="L55" s="33"/>
      <c r="M55" s="33"/>
      <c r="N55" s="33"/>
      <c r="O55" s="33"/>
      <c r="U55" s="63"/>
    </row>
    <row r="56" spans="1:21" s="54" customFormat="1" ht="24" customHeight="1">
      <c r="A56" s="108" t="s">
        <v>90</v>
      </c>
      <c r="B56" s="108"/>
      <c r="C56" s="108"/>
      <c r="D56" s="108"/>
      <c r="E56" s="108"/>
      <c r="F56" s="108"/>
      <c r="G56" s="108"/>
      <c r="H56" s="108"/>
      <c r="I56" s="71"/>
      <c r="J56" s="33"/>
      <c r="K56" s="33"/>
      <c r="L56" s="33"/>
      <c r="M56" s="33"/>
      <c r="N56" s="33"/>
      <c r="O56" s="33"/>
      <c r="U56" s="63"/>
    </row>
    <row r="57" spans="1:21" s="54" customFormat="1" ht="13.5" customHeight="1">
      <c r="A57" s="86" t="s">
        <v>14</v>
      </c>
      <c r="B57" s="86"/>
      <c r="C57" s="86"/>
      <c r="D57" s="86"/>
      <c r="E57" s="86"/>
      <c r="F57" s="86"/>
      <c r="G57" s="86"/>
      <c r="H57" s="86"/>
      <c r="I57" s="71"/>
      <c r="J57" s="33"/>
      <c r="K57" s="33"/>
      <c r="L57" s="33"/>
      <c r="M57" s="33"/>
      <c r="N57" s="33"/>
      <c r="O57" s="33"/>
      <c r="U57" s="63"/>
    </row>
    <row r="58" spans="1:21" s="54" customFormat="1" ht="36" customHeight="1">
      <c r="A58" s="89" t="s">
        <v>82</v>
      </c>
      <c r="B58" s="89"/>
      <c r="C58" s="89"/>
      <c r="D58" s="89"/>
      <c r="E58" s="89"/>
      <c r="F58" s="89"/>
      <c r="G58" s="89"/>
      <c r="H58" s="89"/>
      <c r="I58" s="67"/>
      <c r="J58" s="29"/>
      <c r="K58" s="29"/>
      <c r="L58" s="29"/>
      <c r="M58" s="29"/>
      <c r="N58" s="29"/>
      <c r="O58" s="29"/>
      <c r="U58" s="63"/>
    </row>
    <row r="59" spans="1:21" s="54" customFormat="1" ht="12" customHeight="1">
      <c r="A59" s="84" t="s">
        <v>87</v>
      </c>
      <c r="B59" s="84"/>
      <c r="C59" s="84"/>
      <c r="D59" s="84"/>
      <c r="E59" s="84"/>
      <c r="F59" s="84"/>
      <c r="G59" s="84"/>
      <c r="H59" s="84"/>
      <c r="I59" s="67"/>
      <c r="J59" s="29"/>
      <c r="K59" s="29"/>
      <c r="L59" s="29"/>
      <c r="M59" s="29"/>
      <c r="N59" s="29"/>
      <c r="O59" s="29"/>
      <c r="U59" s="63"/>
    </row>
    <row r="60" spans="1:21" s="54" customFormat="1" ht="13.5" customHeight="1">
      <c r="A60" s="86" t="s">
        <v>15</v>
      </c>
      <c r="B60" s="86"/>
      <c r="C60" s="86"/>
      <c r="D60" s="86"/>
      <c r="E60" s="86"/>
      <c r="F60" s="86"/>
      <c r="G60" s="86"/>
      <c r="H60" s="86"/>
      <c r="I60" s="73"/>
      <c r="J60" s="39"/>
      <c r="K60" s="39"/>
      <c r="L60" s="39"/>
      <c r="M60" s="39"/>
      <c r="N60" s="39"/>
      <c r="O60" s="39"/>
      <c r="U60" s="63"/>
    </row>
    <row r="61" spans="1:21" s="54" customFormat="1" ht="13.5" customHeight="1">
      <c r="A61" s="85" t="s">
        <v>51</v>
      </c>
      <c r="B61" s="85"/>
      <c r="C61" s="85"/>
      <c r="D61" s="85"/>
      <c r="E61" s="85"/>
      <c r="F61" s="85"/>
      <c r="G61" s="85"/>
      <c r="H61" s="85"/>
      <c r="I61" s="71"/>
      <c r="J61" s="33"/>
      <c r="K61" s="33"/>
      <c r="L61" s="33"/>
      <c r="M61" s="33"/>
      <c r="N61" s="33"/>
      <c r="O61" s="33"/>
      <c r="U61" s="63"/>
    </row>
    <row r="62" spans="1:21" s="54" customFormat="1" ht="24" customHeight="1">
      <c r="A62" s="84" t="s">
        <v>93</v>
      </c>
      <c r="B62" s="84"/>
      <c r="C62" s="84"/>
      <c r="D62" s="84"/>
      <c r="E62" s="84"/>
      <c r="F62" s="84"/>
      <c r="G62" s="84"/>
      <c r="H62" s="84"/>
      <c r="I62" s="71"/>
      <c r="J62" s="33"/>
      <c r="K62" s="33"/>
      <c r="L62" s="33"/>
      <c r="M62" s="33"/>
      <c r="N62" s="33"/>
      <c r="O62" s="33"/>
      <c r="U62" s="63"/>
    </row>
    <row r="63" spans="1:21" s="54" customFormat="1" ht="13.5" customHeight="1">
      <c r="A63" s="86" t="s">
        <v>16</v>
      </c>
      <c r="B63" s="86"/>
      <c r="C63" s="86"/>
      <c r="D63" s="86"/>
      <c r="E63" s="86"/>
      <c r="F63" s="86"/>
      <c r="G63" s="86"/>
      <c r="H63" s="86"/>
      <c r="I63" s="71"/>
      <c r="J63" s="33"/>
      <c r="K63" s="33"/>
      <c r="L63" s="33"/>
      <c r="M63" s="33"/>
      <c r="N63" s="33"/>
      <c r="O63" s="33"/>
      <c r="U63" s="63"/>
    </row>
    <row r="64" spans="1:21" s="54" customFormat="1" ht="12" customHeight="1">
      <c r="A64" s="84" t="s">
        <v>89</v>
      </c>
      <c r="B64" s="84"/>
      <c r="C64" s="84"/>
      <c r="D64" s="84"/>
      <c r="E64" s="84"/>
      <c r="F64" s="84"/>
      <c r="G64" s="84"/>
      <c r="H64" s="84"/>
      <c r="I64" s="73"/>
      <c r="J64" s="39"/>
      <c r="K64" s="39"/>
      <c r="L64" s="39"/>
      <c r="M64" s="39"/>
      <c r="N64" s="39"/>
      <c r="O64" s="39"/>
      <c r="U64" s="63"/>
    </row>
    <row r="65" spans="1:21" s="54" customFormat="1" ht="13.5" customHeight="1">
      <c r="A65" s="86" t="s">
        <v>17</v>
      </c>
      <c r="B65" s="86"/>
      <c r="C65" s="86"/>
      <c r="D65" s="86"/>
      <c r="E65" s="86"/>
      <c r="F65" s="86"/>
      <c r="G65" s="86"/>
      <c r="H65" s="86"/>
      <c r="I65" s="70"/>
      <c r="J65" s="38"/>
      <c r="K65" s="38"/>
      <c r="L65" s="38"/>
      <c r="M65" s="38"/>
      <c r="N65" s="38"/>
      <c r="O65" s="38"/>
      <c r="U65" s="63"/>
    </row>
    <row r="66" spans="1:21" s="54" customFormat="1" ht="12" customHeight="1">
      <c r="A66" s="84" t="s">
        <v>37</v>
      </c>
      <c r="B66" s="84"/>
      <c r="C66" s="84"/>
      <c r="D66" s="84"/>
      <c r="E66" s="84"/>
      <c r="F66" s="84"/>
      <c r="G66" s="84"/>
      <c r="H66" s="84"/>
      <c r="I66" s="71"/>
      <c r="J66" s="33"/>
      <c r="K66" s="33"/>
      <c r="L66" s="33"/>
      <c r="M66" s="33"/>
      <c r="N66" s="33"/>
      <c r="O66" s="33"/>
      <c r="U66" s="63"/>
    </row>
    <row r="67" spans="1:21" s="54" customFormat="1" ht="13.5" customHeight="1">
      <c r="A67" s="86" t="s">
        <v>18</v>
      </c>
      <c r="B67" s="86"/>
      <c r="C67" s="86"/>
      <c r="D67" s="86"/>
      <c r="E67" s="86"/>
      <c r="F67" s="86"/>
      <c r="G67" s="86"/>
      <c r="H67" s="86"/>
      <c r="I67" s="73"/>
      <c r="J67" s="39"/>
      <c r="K67" s="39"/>
      <c r="L67" s="39"/>
      <c r="M67" s="39"/>
      <c r="N67" s="39"/>
      <c r="O67" s="39"/>
      <c r="U67" s="63"/>
    </row>
    <row r="68" spans="1:21" s="54" customFormat="1" ht="13.5" customHeight="1">
      <c r="A68" s="85" t="s">
        <v>52</v>
      </c>
      <c r="B68" s="85"/>
      <c r="C68" s="85"/>
      <c r="D68" s="85"/>
      <c r="E68" s="85"/>
      <c r="F68" s="85"/>
      <c r="G68" s="85"/>
      <c r="H68" s="85"/>
      <c r="I68" s="71"/>
      <c r="J68" s="33"/>
      <c r="K68" s="33"/>
      <c r="L68" s="33"/>
      <c r="M68" s="33"/>
      <c r="N68" s="33"/>
      <c r="O68" s="33"/>
      <c r="U68" s="63"/>
    </row>
    <row r="69" spans="1:21" s="54" customFormat="1" ht="24" customHeight="1">
      <c r="A69" s="84" t="s">
        <v>33</v>
      </c>
      <c r="B69" s="84"/>
      <c r="C69" s="84"/>
      <c r="D69" s="84"/>
      <c r="E69" s="84"/>
      <c r="F69" s="84"/>
      <c r="G69" s="84"/>
      <c r="H69" s="84"/>
      <c r="I69" s="73"/>
      <c r="J69" s="39"/>
      <c r="K69" s="39"/>
      <c r="L69" s="39"/>
      <c r="M69" s="39"/>
      <c r="N69" s="39"/>
      <c r="O69" s="39"/>
      <c r="U69" s="63"/>
    </row>
    <row r="70" spans="1:21" s="54" customFormat="1" ht="24" customHeight="1">
      <c r="A70" s="89" t="s">
        <v>92</v>
      </c>
      <c r="B70" s="89"/>
      <c r="C70" s="89"/>
      <c r="D70" s="89"/>
      <c r="E70" s="89"/>
      <c r="F70" s="89"/>
      <c r="G70" s="89"/>
      <c r="H70" s="89"/>
      <c r="I70" s="71"/>
      <c r="J70" s="33"/>
      <c r="K70" s="33"/>
      <c r="L70" s="33"/>
      <c r="M70" s="33"/>
      <c r="N70" s="33"/>
      <c r="O70" s="33"/>
      <c r="U70" s="63"/>
    </row>
    <row r="71" spans="1:21" s="54" customFormat="1" ht="13.5" customHeight="1">
      <c r="A71" s="85" t="s">
        <v>19</v>
      </c>
      <c r="B71" s="85"/>
      <c r="C71" s="85"/>
      <c r="D71" s="85"/>
      <c r="E71" s="85"/>
      <c r="F71" s="85"/>
      <c r="G71" s="85"/>
      <c r="H71" s="85"/>
      <c r="I71" s="73"/>
      <c r="J71" s="39"/>
      <c r="K71" s="39"/>
      <c r="L71" s="39"/>
      <c r="M71" s="39"/>
      <c r="N71" s="39"/>
      <c r="O71" s="39"/>
      <c r="U71" s="63"/>
    </row>
    <row r="72" spans="1:21" s="54" customFormat="1" ht="24" customHeight="1">
      <c r="A72" s="89" t="s">
        <v>88</v>
      </c>
      <c r="B72" s="89"/>
      <c r="C72" s="89"/>
      <c r="D72" s="89"/>
      <c r="E72" s="89"/>
      <c r="F72" s="89"/>
      <c r="G72" s="89"/>
      <c r="H72" s="89"/>
      <c r="I72" s="70"/>
      <c r="J72" s="38"/>
      <c r="K72" s="38"/>
      <c r="L72" s="38"/>
      <c r="M72" s="38"/>
      <c r="N72" s="38"/>
      <c r="O72" s="38"/>
      <c r="U72" s="63"/>
    </row>
    <row r="73" spans="1:21" s="54" customFormat="1" ht="13.5" customHeight="1">
      <c r="A73" s="86" t="s">
        <v>20</v>
      </c>
      <c r="B73" s="86"/>
      <c r="C73" s="86"/>
      <c r="D73" s="86"/>
      <c r="E73" s="86"/>
      <c r="F73" s="86"/>
      <c r="G73" s="86"/>
      <c r="H73" s="86"/>
      <c r="I73" s="71"/>
      <c r="J73" s="33"/>
      <c r="K73" s="33"/>
      <c r="L73" s="33"/>
      <c r="M73" s="33"/>
      <c r="N73" s="33"/>
      <c r="O73" s="33"/>
      <c r="U73" s="63"/>
    </row>
    <row r="74" spans="1:21" s="54" customFormat="1" ht="24" customHeight="1">
      <c r="A74" s="84" t="s">
        <v>91</v>
      </c>
      <c r="B74" s="84"/>
      <c r="C74" s="84"/>
      <c r="D74" s="84"/>
      <c r="E74" s="84"/>
      <c r="F74" s="84"/>
      <c r="G74" s="84"/>
      <c r="H74" s="84"/>
      <c r="I74" s="71"/>
      <c r="J74" s="33"/>
      <c r="K74" s="33"/>
      <c r="L74" s="33"/>
      <c r="M74" s="33"/>
      <c r="N74" s="33"/>
      <c r="O74" s="33"/>
      <c r="U74" s="63"/>
    </row>
    <row r="75" spans="1:21" s="46" customFormat="1" ht="13.5">
      <c r="A75" s="66"/>
      <c r="B75" s="71"/>
      <c r="C75" s="71"/>
      <c r="D75" s="71"/>
      <c r="E75" s="71"/>
      <c r="F75" s="71"/>
      <c r="G75" s="71"/>
      <c r="H75" s="71"/>
      <c r="I75" s="71"/>
      <c r="J75" s="33"/>
      <c r="K75" s="33"/>
      <c r="L75" s="33"/>
      <c r="M75" s="33"/>
      <c r="N75" s="33"/>
      <c r="O75" s="33"/>
      <c r="U75" s="20"/>
    </row>
    <row r="76" spans="1:21" s="46" customFormat="1" ht="13.5">
      <c r="A76" s="66"/>
      <c r="B76" s="77"/>
      <c r="C76" s="77"/>
      <c r="D76" s="77"/>
      <c r="E76" s="77"/>
      <c r="F76" s="77"/>
      <c r="G76" s="77"/>
      <c r="H76" s="77"/>
      <c r="I76" s="77"/>
      <c r="J76" s="39"/>
      <c r="K76" s="39"/>
      <c r="L76" s="39"/>
      <c r="M76" s="39"/>
      <c r="N76" s="39"/>
      <c r="O76" s="39"/>
      <c r="U76" s="20"/>
    </row>
    <row r="77" spans="1:21" s="46" customFormat="1" ht="13.5">
      <c r="A77" s="66"/>
      <c r="B77" s="78"/>
      <c r="C77" s="77"/>
      <c r="D77" s="77"/>
      <c r="E77" s="77"/>
      <c r="F77" s="77"/>
      <c r="G77" s="77"/>
      <c r="H77" s="77"/>
      <c r="I77" s="79"/>
      <c r="J77" s="33"/>
      <c r="K77" s="33"/>
      <c r="L77" s="33"/>
      <c r="M77" s="33"/>
      <c r="N77" s="33"/>
      <c r="O77" s="33"/>
      <c r="U77" s="20"/>
    </row>
    <row r="78" spans="1:21" s="46" customFormat="1" ht="13.5">
      <c r="A78" s="66"/>
      <c r="B78" s="77"/>
      <c r="C78" s="77"/>
      <c r="D78" s="77"/>
      <c r="E78" s="77"/>
      <c r="F78" s="77"/>
      <c r="G78" s="77"/>
      <c r="H78" s="77"/>
      <c r="I78" s="79"/>
      <c r="J78" s="33"/>
      <c r="K78" s="33"/>
      <c r="L78" s="33"/>
      <c r="M78" s="33"/>
      <c r="N78" s="33"/>
      <c r="O78" s="33"/>
      <c r="U78" s="20"/>
    </row>
    <row r="79" spans="1:21" s="46" customFormat="1" ht="13.5">
      <c r="A79" s="66"/>
      <c r="B79" s="77"/>
      <c r="C79" s="77"/>
      <c r="D79" s="77"/>
      <c r="E79" s="77"/>
      <c r="F79" s="77"/>
      <c r="G79" s="77"/>
      <c r="H79" s="77"/>
      <c r="I79" s="77"/>
      <c r="J79" s="43"/>
      <c r="K79" s="43"/>
      <c r="L79" s="43"/>
      <c r="M79" s="43"/>
      <c r="N79" s="43"/>
      <c r="O79" s="47"/>
      <c r="U79" s="20"/>
    </row>
    <row r="80" spans="1:21" s="46" customFormat="1" ht="13.5">
      <c r="A80" s="66"/>
      <c r="B80" s="77"/>
      <c r="C80" s="77"/>
      <c r="D80" s="77"/>
      <c r="E80" s="77"/>
      <c r="F80" s="77"/>
      <c r="G80" s="77"/>
      <c r="H80" s="77"/>
      <c r="I80" s="77"/>
      <c r="J80" s="43"/>
      <c r="K80" s="43"/>
      <c r="L80" s="13"/>
      <c r="M80" s="13"/>
      <c r="N80" s="13"/>
      <c r="O80" s="47"/>
      <c r="U80" s="20"/>
    </row>
    <row r="81" spans="1:21" s="46" customFormat="1" ht="13.5">
      <c r="A81" s="66"/>
      <c r="B81" s="77"/>
      <c r="C81" s="77"/>
      <c r="D81" s="77"/>
      <c r="E81" s="77"/>
      <c r="F81" s="77"/>
      <c r="G81" s="77"/>
      <c r="H81" s="77"/>
      <c r="I81" s="77"/>
      <c r="J81" s="43"/>
      <c r="K81" s="43"/>
      <c r="L81" s="13"/>
      <c r="M81" s="13"/>
      <c r="N81" s="13"/>
      <c r="O81" s="47"/>
      <c r="U81" s="20"/>
    </row>
    <row r="82" spans="1:21" s="46" customFormat="1" ht="13.5">
      <c r="A82" s="66"/>
      <c r="B82" s="77"/>
      <c r="C82" s="77"/>
      <c r="D82" s="77"/>
      <c r="E82" s="77"/>
      <c r="F82" s="77"/>
      <c r="G82" s="77"/>
      <c r="H82" s="77"/>
      <c r="I82" s="77"/>
      <c r="J82" s="43"/>
      <c r="K82" s="43"/>
      <c r="L82" s="43"/>
      <c r="M82" s="43"/>
      <c r="N82" s="43"/>
      <c r="O82" s="47"/>
      <c r="U82" s="20"/>
    </row>
    <row r="83" spans="1:15" ht="13.5">
      <c r="A83" s="76"/>
      <c r="B83" s="80"/>
      <c r="C83" s="80"/>
      <c r="D83" s="80"/>
      <c r="E83" s="80"/>
      <c r="F83" s="80"/>
      <c r="G83" s="80"/>
      <c r="H83" s="80"/>
      <c r="I83" s="81"/>
      <c r="J83" s="6"/>
      <c r="K83" s="6"/>
      <c r="L83" s="6"/>
      <c r="M83" s="6"/>
      <c r="N83" s="6"/>
      <c r="O83" s="1"/>
    </row>
    <row r="84" spans="1:15" ht="13.5">
      <c r="A84" s="76"/>
      <c r="B84" s="80"/>
      <c r="C84" s="80"/>
      <c r="D84" s="80"/>
      <c r="E84" s="80"/>
      <c r="F84" s="80"/>
      <c r="G84" s="80"/>
      <c r="H84" s="80"/>
      <c r="I84" s="80"/>
      <c r="J84" s="6"/>
      <c r="K84" s="6"/>
      <c r="L84" s="6"/>
      <c r="M84" s="6"/>
      <c r="N84" s="6"/>
      <c r="O84" s="1"/>
    </row>
    <row r="85" spans="1:15" ht="13.5">
      <c r="A85" s="76"/>
      <c r="B85" s="80"/>
      <c r="C85" s="80"/>
      <c r="D85" s="80"/>
      <c r="E85" s="80"/>
      <c r="F85" s="80"/>
      <c r="G85" s="80"/>
      <c r="H85" s="80"/>
      <c r="I85" s="80"/>
      <c r="J85" s="6"/>
      <c r="K85" s="6"/>
      <c r="L85" s="6"/>
      <c r="M85" s="6"/>
      <c r="N85" s="6"/>
      <c r="O85" s="1"/>
    </row>
    <row r="86" spans="1:15" ht="13.5">
      <c r="A86" s="76"/>
      <c r="B86" s="80"/>
      <c r="C86" s="80"/>
      <c r="D86" s="80"/>
      <c r="E86" s="80"/>
      <c r="F86" s="80"/>
      <c r="G86" s="80"/>
      <c r="H86" s="80"/>
      <c r="I86" s="80"/>
      <c r="J86" s="6"/>
      <c r="K86" s="6"/>
      <c r="L86" s="7"/>
      <c r="M86" s="7"/>
      <c r="N86" s="7"/>
      <c r="O86" s="1"/>
    </row>
    <row r="87" spans="1:15" ht="13.5">
      <c r="A87" s="76"/>
      <c r="B87" s="80"/>
      <c r="C87" s="80"/>
      <c r="D87" s="80"/>
      <c r="E87" s="80"/>
      <c r="F87" s="80"/>
      <c r="G87" s="80"/>
      <c r="H87" s="80"/>
      <c r="I87" s="80"/>
      <c r="J87" s="6"/>
      <c r="K87" s="6"/>
      <c r="L87" s="6"/>
      <c r="M87" s="6"/>
      <c r="N87" s="6"/>
      <c r="O87" s="1"/>
    </row>
    <row r="88" spans="1:15" ht="13.5">
      <c r="A88" s="76"/>
      <c r="B88" s="80"/>
      <c r="C88" s="80"/>
      <c r="D88" s="80"/>
      <c r="E88" s="80"/>
      <c r="F88" s="80"/>
      <c r="G88" s="80"/>
      <c r="H88" s="80"/>
      <c r="I88" s="80"/>
      <c r="J88" s="6"/>
      <c r="K88" s="6"/>
      <c r="L88" s="6"/>
      <c r="M88" s="6"/>
      <c r="N88" s="6"/>
      <c r="O88" s="1"/>
    </row>
    <row r="89" spans="2:15" ht="13.5">
      <c r="B89" s="3"/>
      <c r="C89" s="3"/>
      <c r="D89" s="3"/>
      <c r="E89" s="3"/>
      <c r="F89" s="3"/>
      <c r="G89" s="3"/>
      <c r="H89" s="3"/>
      <c r="I89" s="3"/>
      <c r="J89" s="6"/>
      <c r="K89" s="6"/>
      <c r="L89" s="6"/>
      <c r="M89" s="6"/>
      <c r="N89" s="6"/>
      <c r="O89" s="1"/>
    </row>
    <row r="90" spans="10:15" ht="13.5">
      <c r="J90" s="6"/>
      <c r="K90" s="6"/>
      <c r="L90" s="6"/>
      <c r="M90" s="6"/>
      <c r="N90" s="6"/>
      <c r="O90" s="1"/>
    </row>
    <row r="91" spans="10:15" ht="13.5">
      <c r="J91" s="6"/>
      <c r="K91" s="6"/>
      <c r="L91" s="6"/>
      <c r="M91" s="6"/>
      <c r="N91" s="6"/>
      <c r="O91" s="1"/>
    </row>
    <row r="92" spans="10:15" ht="13.5">
      <c r="J92" s="3"/>
      <c r="K92" s="3"/>
      <c r="L92" s="3"/>
      <c r="M92" s="3"/>
      <c r="N92" s="3"/>
      <c r="O92" s="3"/>
    </row>
  </sheetData>
  <mergeCells count="43">
    <mergeCell ref="A1:U1"/>
    <mergeCell ref="A39:I39"/>
    <mergeCell ref="A41:I41"/>
    <mergeCell ref="A40:I40"/>
    <mergeCell ref="C43:I43"/>
    <mergeCell ref="A42:I42"/>
    <mergeCell ref="A54:H54"/>
    <mergeCell ref="A50:H50"/>
    <mergeCell ref="A51:H51"/>
    <mergeCell ref="A52:H52"/>
    <mergeCell ref="A55:H55"/>
    <mergeCell ref="A37:I37"/>
    <mergeCell ref="A38:I38"/>
    <mergeCell ref="A34:I34"/>
    <mergeCell ref="A35:I35"/>
    <mergeCell ref="A36:I36"/>
    <mergeCell ref="A33:I33"/>
    <mergeCell ref="C44:I44"/>
    <mergeCell ref="C45:I45"/>
    <mergeCell ref="C46:I46"/>
    <mergeCell ref="A58:H58"/>
    <mergeCell ref="A59:H59"/>
    <mergeCell ref="A60:H60"/>
    <mergeCell ref="A57:H57"/>
    <mergeCell ref="A48:I48"/>
    <mergeCell ref="A49:I49"/>
    <mergeCell ref="A47:I47"/>
    <mergeCell ref="A53:H53"/>
    <mergeCell ref="A56:H56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4:H74"/>
    <mergeCell ref="A70:H70"/>
    <mergeCell ref="A71:H71"/>
    <mergeCell ref="A72:H72"/>
    <mergeCell ref="A73:H73"/>
  </mergeCells>
  <printOptions/>
  <pageMargins left="0.5" right="0.5" top="0.5" bottom="0.5" header="0.25" footer="0.25"/>
  <pageSetup fitToHeight="0" fitToWidth="1" horizontalDpi="300" verticalDpi="300" orientation="landscape" scale="68" r:id="rId1"/>
  <rowBreaks count="1" manualBreakCount="1"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2004-12-23T21:23:01Z</cp:lastPrinted>
  <dcterms:created xsi:type="dcterms:W3CDTF">1999-07-27T00:50:43Z</dcterms:created>
  <dcterms:modified xsi:type="dcterms:W3CDTF">2004-12-28T19:26:13Z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-381408252</vt:i4>
  </property>
  <property fmtid="{D5CDD505-2E9C-101B-9397-08002B2CF9AE}" pid="3" name="_EmailSubject">
    <vt:lpwstr>NTS tables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1181453118</vt:i4>
  </property>
  <property fmtid="{D5CDD505-2E9C-101B-9397-08002B2CF9AE}" pid="7" name="_ReviewingToolsShownOnce">
    <vt:lpwstr/>
  </property>
</Properties>
</file>