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8700" activeTab="0"/>
  </bookViews>
  <sheets>
    <sheet name="2-18" sheetId="1" r:id="rId1"/>
  </sheets>
  <definedNames>
    <definedName name="HTML_CodePage" hidden="1">1252</definedName>
    <definedName name="HTML_Control" hidden="1">{"'2-18'!$A$1:$L$52"}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tasks\nts2000\nts2000\HTML\Ch2_web\2-18.htm"</definedName>
    <definedName name="HTML_Title" hidden="1">"Table 2-18"</definedName>
    <definedName name="_xlnm.Print_Area" localSheetId="0">'2-18'!$A$1:$M$54</definedName>
  </definedNames>
  <calcPr fullCalcOnLoad="1"/>
</workbook>
</file>

<file path=xl/sharedStrings.xml><?xml version="1.0" encoding="utf-8"?>
<sst xmlns="http://schemas.openxmlformats.org/spreadsheetml/2006/main" count="59" uniqueCount="36">
  <si>
    <t>Fatalities</t>
  </si>
  <si>
    <t>Table 2-18:  Motor Vehicle Fatalities, Vehicle-Miles, and Associated Rates by Highway Functional System</t>
  </si>
  <si>
    <t>SOURCES:</t>
  </si>
  <si>
    <t>Calculated by the U.S. Department of Transportation, Bureau of Transportation Statistics.</t>
  </si>
  <si>
    <t xml:space="preserve">Fatality figures reflect original figures received by FHWA from NHTSA, and, when totaled, differ slightly from the revised NHTSA figures that appear in other tables in this volume. </t>
  </si>
  <si>
    <t>NOTES:</t>
  </si>
  <si>
    <t xml:space="preserve">Includes the 50 states and the District of Columbia. </t>
  </si>
  <si>
    <t>Fatalities:</t>
  </si>
  <si>
    <t>Vehicle miles:</t>
  </si>
  <si>
    <t>Fatality rates:</t>
  </si>
  <si>
    <t>Vehicle-miles of travel (VMT) (millions)</t>
  </si>
  <si>
    <t>Interstate</t>
  </si>
  <si>
    <t>Collector</t>
  </si>
  <si>
    <t>Local</t>
  </si>
  <si>
    <t>Fatality rates per 100 million vehicle miles</t>
  </si>
  <si>
    <t>Rural, total</t>
  </si>
  <si>
    <t>Urban, total</t>
  </si>
  <si>
    <t>1997</t>
  </si>
  <si>
    <t>1998</t>
  </si>
  <si>
    <t>1999</t>
  </si>
  <si>
    <t>2000</t>
  </si>
  <si>
    <t>1996</t>
  </si>
  <si>
    <t>1995</t>
  </si>
  <si>
    <t>1990</t>
  </si>
  <si>
    <t>1985</t>
  </si>
  <si>
    <t>1980</t>
  </si>
  <si>
    <r>
      <t>a</t>
    </r>
    <r>
      <rPr>
        <sz val="9"/>
        <rFont val="Arial"/>
        <family val="2"/>
      </rPr>
      <t xml:space="preserve">  For urban: the sum of other freeways and expressways, other principal arterials, and minor arterials.</t>
    </r>
  </si>
  <si>
    <t>For rural: the sum of other principal arterials and minor arterials.</t>
  </si>
  <si>
    <r>
      <t xml:space="preserve">b </t>
    </r>
    <r>
      <rPr>
        <sz val="9"/>
        <rFont val="Arial"/>
        <family val="2"/>
      </rPr>
      <t xml:space="preserve"> Collector is the sum of major and minor collectors (rural only).</t>
    </r>
  </si>
  <si>
    <r>
      <t>Other arterials</t>
    </r>
    <r>
      <rPr>
        <vertAlign val="superscript"/>
        <sz val="11"/>
        <rFont val="Arial Narrow"/>
        <family val="2"/>
      </rPr>
      <t>a</t>
    </r>
  </si>
  <si>
    <r>
      <t>Collector</t>
    </r>
    <r>
      <rPr>
        <vertAlign val="superscript"/>
        <sz val="11"/>
        <rFont val="Arial Narrow"/>
        <family val="2"/>
      </rPr>
      <t>b</t>
    </r>
  </si>
  <si>
    <r>
      <t xml:space="preserve">1996-2003: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VM-2, Internet site http://www.fhwa.dot.gov/policy/ohpi/index.htm as of Dec. 13, 2004.</t>
    </r>
  </si>
  <si>
    <r>
      <t xml:space="preserve">1996-97: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FI-1, Internet site http://www.fhwa.dot.gov/ohim/ohimstat.htm as of January 2003. </t>
    </r>
  </si>
  <si>
    <r>
      <t xml:space="preserve">1980-95: U.S. Department of Transportation, Federal Highway Administration, </t>
    </r>
    <r>
      <rPr>
        <i/>
        <sz val="9"/>
        <rFont val="Arial"/>
        <family val="2"/>
      </rPr>
      <t xml:space="preserve">Highway Statistics Summary to 1995 </t>
    </r>
    <r>
      <rPr>
        <sz val="9"/>
        <rFont val="Arial"/>
        <family val="2"/>
      </rPr>
      <t xml:space="preserve">(Washington, DC: July 1997), table FI-220, Internet site http://www.fhwa.dot.gov/ohim/ohimstat.htm as of Oct. 25, 2000. </t>
    </r>
  </si>
  <si>
    <r>
      <t xml:space="preserve">1998-2003: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FI-20, Internet site http://www.fhwa.dot.gov/policy/ohpi/index.htm as of Dec. 13, 2004.</t>
    </r>
  </si>
  <si>
    <r>
      <t xml:space="preserve">1980-95: U.S. Department of Transportation, Federal Highway Administration, </t>
    </r>
    <r>
      <rPr>
        <i/>
        <sz val="9"/>
        <rFont val="Arial"/>
        <family val="2"/>
      </rPr>
      <t xml:space="preserve">Highway Statistics Summary to 1995 </t>
    </r>
    <r>
      <rPr>
        <sz val="9"/>
        <rFont val="Arial"/>
        <family val="2"/>
      </rPr>
      <t xml:space="preserve">(Washington, DC: July 1997), table VM-202, Internet site http://www.fhwa.dot.gov/ohim/ohimstat.htm as of Oct. 25, 2000.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</si>
</sst>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&quot;$&quot;#,##0\ ;\(&quot;$&quot;#,##0\)"/>
    <numFmt numFmtId="167" formatCode="#,##0.0"/>
    <numFmt numFmtId="168" formatCode="#,##0.000"/>
    <numFmt numFmtId="169" formatCode="#,##0.0000"/>
    <numFmt numFmtId="170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4">
    <xf numFmtId="0" fontId="0" fillId="0" borderId="0" xfId="0" applyAlignment="1">
      <alignment/>
    </xf>
    <xf numFmtId="0" fontId="14" fillId="0" borderId="0" xfId="45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17" fillId="0" borderId="0" xfId="27" applyFont="1" applyFill="1" applyBorder="1" applyAlignment="1">
      <alignment horizontal="left"/>
      <protection/>
    </xf>
    <xf numFmtId="1" fontId="17" fillId="0" borderId="0" xfId="27" applyNumberFormat="1" applyFont="1" applyFill="1" applyBorder="1" applyAlignment="1">
      <alignment horizontal="right"/>
      <protection/>
    </xf>
    <xf numFmtId="165" fontId="18" fillId="0" borderId="0" xfId="0" applyNumberFormat="1" applyFont="1" applyFill="1" applyBorder="1" applyAlignment="1">
      <alignment/>
    </xf>
    <xf numFmtId="3" fontId="17" fillId="0" borderId="0" xfId="27" applyNumberFormat="1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17" fillId="0" borderId="5" xfId="27" applyFont="1" applyFill="1" applyBorder="1" applyAlignment="1">
      <alignment horizontal="center"/>
      <protection/>
    </xf>
    <xf numFmtId="0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Alignment="1">
      <alignment horizontal="lef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wrapText="1"/>
    </xf>
    <xf numFmtId="0" fontId="17" fillId="0" borderId="0" xfId="27" applyFont="1" applyFill="1" applyBorder="1" applyAlignment="1">
      <alignment/>
      <protection/>
    </xf>
    <xf numFmtId="0" fontId="18" fillId="0" borderId="0" xfId="27" applyFont="1" applyFill="1" applyBorder="1" applyAlignment="1">
      <alignment/>
      <protection/>
    </xf>
    <xf numFmtId="49" fontId="17" fillId="0" borderId="5" xfId="27" applyNumberFormat="1" applyFont="1" applyFill="1" applyBorder="1" applyAlignment="1">
      <alignment horizontal="center"/>
      <protection/>
    </xf>
    <xf numFmtId="43" fontId="17" fillId="0" borderId="0" xfId="15" applyFont="1" applyFill="1" applyBorder="1" applyAlignment="1">
      <alignment horizontal="right"/>
    </xf>
    <xf numFmtId="43" fontId="18" fillId="0" borderId="0" xfId="15" applyFont="1" applyFill="1" applyBorder="1" applyAlignment="1">
      <alignment horizontal="right"/>
    </xf>
    <xf numFmtId="43" fontId="18" fillId="0" borderId="6" xfId="15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8" fillId="0" borderId="6" xfId="27" applyFont="1" applyFill="1" applyBorder="1" applyAlignment="1">
      <alignment/>
      <protection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7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17" fillId="0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0" fillId="0" borderId="0" xfId="0" applyNumberFormat="1" applyFont="1" applyFill="1" applyAlignment="1">
      <alignment horizontal="left" wrapText="1"/>
    </xf>
    <xf numFmtId="49" fontId="20" fillId="0" borderId="0" xfId="0" applyNumberFormat="1" applyFont="1" applyFill="1" applyAlignment="1">
      <alignment wrapText="1"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wrapText="1"/>
    </xf>
    <xf numFmtId="22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6" xfId="45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wrapText="1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"/>
  <sheetViews>
    <sheetView tabSelected="1" zoomScaleSheetLayoutView="75" workbookViewId="0" topLeftCell="A1">
      <selection activeCell="A1" sqref="A1:M1"/>
    </sheetView>
  </sheetViews>
  <sheetFormatPr defaultColWidth="9.140625" defaultRowHeight="12.75"/>
  <cols>
    <col min="1" max="1" width="33.7109375" style="2" customWidth="1"/>
    <col min="2" max="7" width="8.8515625" style="4" customWidth="1"/>
    <col min="8" max="12" width="9.00390625" style="4" customWidth="1"/>
    <col min="13" max="13" width="9.00390625" style="2" customWidth="1"/>
    <col min="14" max="16384" width="9.140625" style="2" customWidth="1"/>
  </cols>
  <sheetData>
    <row r="1" spans="1:13" s="1" customFormat="1" ht="22.5" customHeight="1" thickBot="1">
      <c r="A1" s="51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3"/>
      <c r="M1" s="53"/>
    </row>
    <row r="2" spans="1:13" s="26" customFormat="1" ht="13.5">
      <c r="A2" s="11"/>
      <c r="B2" s="22" t="s">
        <v>25</v>
      </c>
      <c r="C2" s="22" t="s">
        <v>24</v>
      </c>
      <c r="D2" s="22" t="s">
        <v>23</v>
      </c>
      <c r="E2" s="22" t="s">
        <v>22</v>
      </c>
      <c r="F2" s="22" t="s">
        <v>21</v>
      </c>
      <c r="G2" s="22" t="s">
        <v>17</v>
      </c>
      <c r="H2" s="22" t="s">
        <v>18</v>
      </c>
      <c r="I2" s="22" t="s">
        <v>19</v>
      </c>
      <c r="J2" s="22" t="s">
        <v>20</v>
      </c>
      <c r="K2" s="32">
        <v>2001</v>
      </c>
      <c r="L2" s="36">
        <v>2002</v>
      </c>
      <c r="M2" s="36">
        <v>2003</v>
      </c>
    </row>
    <row r="3" spans="1:251" ht="13.5">
      <c r="A3" s="6" t="s">
        <v>0</v>
      </c>
      <c r="B3" s="7"/>
      <c r="C3" s="7"/>
      <c r="D3" s="7"/>
      <c r="E3" s="7"/>
      <c r="F3" s="7"/>
      <c r="G3" s="7"/>
      <c r="H3" s="7"/>
      <c r="I3" s="8"/>
      <c r="J3" s="5"/>
      <c r="K3" s="33"/>
      <c r="L3" s="33"/>
      <c r="M3" s="33"/>
      <c r="IQ3" s="3"/>
    </row>
    <row r="4" spans="1:13" ht="13.5">
      <c r="A4" s="20" t="s">
        <v>15</v>
      </c>
      <c r="B4" s="9">
        <f aca="true" t="shared" si="0" ref="B4:H4">SUM(B5:B8)</f>
        <v>29545</v>
      </c>
      <c r="C4" s="9">
        <f t="shared" si="0"/>
        <v>24492</v>
      </c>
      <c r="D4" s="9">
        <f t="shared" si="0"/>
        <v>25786</v>
      </c>
      <c r="E4" s="9">
        <f t="shared" si="0"/>
        <v>23978</v>
      </c>
      <c r="F4" s="9">
        <f t="shared" si="0"/>
        <v>24510</v>
      </c>
      <c r="G4" s="9">
        <v>24889</v>
      </c>
      <c r="H4" s="9">
        <f t="shared" si="0"/>
        <v>24751</v>
      </c>
      <c r="I4" s="9">
        <v>25185</v>
      </c>
      <c r="J4" s="9">
        <v>23640</v>
      </c>
      <c r="K4" s="34">
        <v>23396</v>
      </c>
      <c r="L4" s="34">
        <v>25693</v>
      </c>
      <c r="M4" s="34">
        <v>25203</v>
      </c>
    </row>
    <row r="5" spans="1:13" ht="13.5">
      <c r="A5" s="21" t="s">
        <v>11</v>
      </c>
      <c r="B5" s="10">
        <v>2263</v>
      </c>
      <c r="C5" s="10">
        <v>2141</v>
      </c>
      <c r="D5" s="10">
        <v>2707</v>
      </c>
      <c r="E5" s="10">
        <v>2675</v>
      </c>
      <c r="F5" s="10">
        <v>2905</v>
      </c>
      <c r="G5" s="10">
        <v>3033</v>
      </c>
      <c r="H5" s="10">
        <v>3105</v>
      </c>
      <c r="I5" s="10">
        <v>3244</v>
      </c>
      <c r="J5" s="10">
        <v>3199</v>
      </c>
      <c r="K5" s="33">
        <v>3105</v>
      </c>
      <c r="L5" s="33">
        <v>3297</v>
      </c>
      <c r="M5" s="33">
        <v>3241</v>
      </c>
    </row>
    <row r="6" spans="1:13" ht="15.75">
      <c r="A6" s="31" t="s">
        <v>29</v>
      </c>
      <c r="B6" s="10">
        <f>6217+6051</f>
        <v>12268</v>
      </c>
      <c r="C6" s="10">
        <f>4741+5199</f>
        <v>9940</v>
      </c>
      <c r="D6" s="10">
        <f>4811+5082</f>
        <v>9893</v>
      </c>
      <c r="E6" s="10">
        <f>5205+4742</f>
        <v>9947</v>
      </c>
      <c r="F6" s="10">
        <f>5295+4163</f>
        <v>9458</v>
      </c>
      <c r="G6" s="10">
        <v>9821</v>
      </c>
      <c r="H6" s="10">
        <f>5378+4216</f>
        <v>9594</v>
      </c>
      <c r="I6" s="10">
        <v>9573</v>
      </c>
      <c r="J6" s="10">
        <f>4884+4029</f>
        <v>8913</v>
      </c>
      <c r="K6" s="33">
        <f>4708+3984</f>
        <v>8692</v>
      </c>
      <c r="L6" s="33">
        <f>4884+4474</f>
        <v>9358</v>
      </c>
      <c r="M6" s="33">
        <f>5108+4715</f>
        <v>9823</v>
      </c>
    </row>
    <row r="7" spans="1:13" ht="15.75">
      <c r="A7" s="31" t="s">
        <v>30</v>
      </c>
      <c r="B7" s="10">
        <f>7950+2054</f>
        <v>10004</v>
      </c>
      <c r="C7" s="10">
        <f>6664+1545</f>
        <v>8209</v>
      </c>
      <c r="D7" s="10">
        <f>6972+1880</f>
        <v>8852</v>
      </c>
      <c r="E7" s="10">
        <f>5699+1702</f>
        <v>7401</v>
      </c>
      <c r="F7" s="10">
        <f>5924+1557</f>
        <v>7481</v>
      </c>
      <c r="G7" s="10">
        <v>7578</v>
      </c>
      <c r="H7" s="10">
        <f>5840+1753</f>
        <v>7593</v>
      </c>
      <c r="I7" s="10">
        <v>7595</v>
      </c>
      <c r="J7" s="10">
        <f>5394+1753</f>
        <v>7147</v>
      </c>
      <c r="K7" s="33">
        <f>5578+1727</f>
        <v>7305</v>
      </c>
      <c r="L7" s="33">
        <f>5972+2002</f>
        <v>7974</v>
      </c>
      <c r="M7" s="33">
        <f>5859+1867</f>
        <v>7726</v>
      </c>
    </row>
    <row r="8" spans="1:13" ht="13.5">
      <c r="A8" s="21" t="s">
        <v>13</v>
      </c>
      <c r="B8" s="10">
        <v>5010</v>
      </c>
      <c r="C8" s="10">
        <v>4202</v>
      </c>
      <c r="D8" s="10">
        <v>4334</v>
      </c>
      <c r="E8" s="10">
        <v>3955</v>
      </c>
      <c r="F8" s="10">
        <v>4666</v>
      </c>
      <c r="G8" s="10">
        <v>4457</v>
      </c>
      <c r="H8" s="10">
        <v>4459</v>
      </c>
      <c r="I8" s="10">
        <v>4773</v>
      </c>
      <c r="J8" s="10">
        <v>4381</v>
      </c>
      <c r="K8" s="33">
        <v>4294</v>
      </c>
      <c r="L8" s="33">
        <v>5064</v>
      </c>
      <c r="M8" s="33">
        <f>4413</f>
        <v>4413</v>
      </c>
    </row>
    <row r="9" spans="1:13" ht="13.5">
      <c r="A9" s="20" t="s">
        <v>16</v>
      </c>
      <c r="B9" s="9">
        <f aca="true" t="shared" si="1" ref="B9:H9">SUM(B10:B13)</f>
        <v>21546</v>
      </c>
      <c r="C9" s="9">
        <f t="shared" si="1"/>
        <v>19333</v>
      </c>
      <c r="D9" s="9">
        <f t="shared" si="1"/>
        <v>18813</v>
      </c>
      <c r="E9" s="9">
        <f t="shared" si="1"/>
        <v>17839</v>
      </c>
      <c r="F9" s="9">
        <f t="shared" si="1"/>
        <v>17555</v>
      </c>
      <c r="G9" s="9">
        <v>17078</v>
      </c>
      <c r="H9" s="9">
        <f t="shared" si="1"/>
        <v>16143</v>
      </c>
      <c r="I9" s="9">
        <v>15970</v>
      </c>
      <c r="J9" s="9">
        <f>SUM(J10:J13)</f>
        <v>15695</v>
      </c>
      <c r="K9" s="34">
        <v>15219</v>
      </c>
      <c r="L9" s="34">
        <v>16759</v>
      </c>
      <c r="M9" s="34">
        <v>16825</v>
      </c>
    </row>
    <row r="10" spans="1:13" ht="13.5">
      <c r="A10" s="21" t="s">
        <v>11</v>
      </c>
      <c r="B10" s="10">
        <v>2184</v>
      </c>
      <c r="C10" s="10">
        <v>2025</v>
      </c>
      <c r="D10" s="10">
        <v>2252</v>
      </c>
      <c r="E10" s="10">
        <v>2154</v>
      </c>
      <c r="F10" s="10">
        <v>2323</v>
      </c>
      <c r="G10" s="10">
        <v>2281</v>
      </c>
      <c r="H10" s="10">
        <v>2283</v>
      </c>
      <c r="I10" s="10">
        <v>2353</v>
      </c>
      <c r="J10" s="10">
        <v>2388</v>
      </c>
      <c r="K10" s="33">
        <v>2371</v>
      </c>
      <c r="L10" s="33">
        <v>2452</v>
      </c>
      <c r="M10" s="33">
        <v>2374</v>
      </c>
    </row>
    <row r="11" spans="1:13" ht="15.75">
      <c r="A11" s="31" t="s">
        <v>29</v>
      </c>
      <c r="B11" s="10">
        <f>2120+5872+4760</f>
        <v>12752</v>
      </c>
      <c r="C11" s="10">
        <f>1125+6689+4707</f>
        <v>12521</v>
      </c>
      <c r="D11" s="10">
        <f>1099+6660+3983</f>
        <v>11742</v>
      </c>
      <c r="E11" s="10">
        <f>1290+5872+3754</f>
        <v>10916</v>
      </c>
      <c r="F11" s="10">
        <f>1566+5523+3667</f>
        <v>10756</v>
      </c>
      <c r="G11" s="10">
        <v>10243</v>
      </c>
      <c r="H11" s="10">
        <f>1282+5285+3335</f>
        <v>9902</v>
      </c>
      <c r="I11" s="10">
        <v>9628</v>
      </c>
      <c r="J11" s="10">
        <f>1354+4912+3176</f>
        <v>9442</v>
      </c>
      <c r="K11" s="33">
        <f>1341+4580+2917</f>
        <v>8838</v>
      </c>
      <c r="L11" s="33">
        <f>1481+5047+3174</f>
        <v>9702</v>
      </c>
      <c r="M11" s="33">
        <f>1462+4873+3492</f>
        <v>9827</v>
      </c>
    </row>
    <row r="12" spans="1:13" ht="13.5">
      <c r="A12" s="21" t="s">
        <v>12</v>
      </c>
      <c r="B12" s="10">
        <v>2226</v>
      </c>
      <c r="C12" s="10">
        <v>1696</v>
      </c>
      <c r="D12" s="10">
        <v>1427</v>
      </c>
      <c r="E12" s="10">
        <v>1441</v>
      </c>
      <c r="F12" s="10">
        <v>1290</v>
      </c>
      <c r="G12" s="10">
        <v>1399</v>
      </c>
      <c r="H12" s="10">
        <v>1037</v>
      </c>
      <c r="I12" s="10">
        <v>1031</v>
      </c>
      <c r="J12" s="10">
        <v>987</v>
      </c>
      <c r="K12" s="33">
        <v>1007</v>
      </c>
      <c r="L12" s="33">
        <v>1136</v>
      </c>
      <c r="M12" s="33">
        <v>1197</v>
      </c>
    </row>
    <row r="13" spans="1:13" ht="13.5">
      <c r="A13" s="21" t="s">
        <v>13</v>
      </c>
      <c r="B13" s="10">
        <v>4384</v>
      </c>
      <c r="C13" s="10">
        <v>3091</v>
      </c>
      <c r="D13" s="10">
        <v>3392</v>
      </c>
      <c r="E13" s="10">
        <v>3328</v>
      </c>
      <c r="F13" s="10">
        <v>3186</v>
      </c>
      <c r="G13" s="10">
        <v>3155</v>
      </c>
      <c r="H13" s="10">
        <v>2921</v>
      </c>
      <c r="I13" s="10">
        <v>2958</v>
      </c>
      <c r="J13" s="10">
        <v>2878</v>
      </c>
      <c r="K13" s="33">
        <v>3003</v>
      </c>
      <c r="L13" s="33">
        <v>3469</v>
      </c>
      <c r="M13" s="33">
        <v>3427</v>
      </c>
    </row>
    <row r="14" spans="1:13" ht="13.5">
      <c r="A14" s="2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33"/>
      <c r="L14" s="33"/>
      <c r="M14" s="33"/>
    </row>
    <row r="15" spans="1:13" ht="13.5">
      <c r="A15" s="20" t="s">
        <v>15</v>
      </c>
      <c r="B15" s="9">
        <f>SUM(B16:B19)</f>
        <v>672030</v>
      </c>
      <c r="C15" s="9">
        <f>SUM(C16:C19)</f>
        <v>730728</v>
      </c>
      <c r="D15" s="9">
        <f>SUM(D16:D19)</f>
        <v>868878</v>
      </c>
      <c r="E15" s="9">
        <f>SUM(E16:E19)</f>
        <v>933289</v>
      </c>
      <c r="F15" s="9">
        <f>SUM(F16:F19)</f>
        <v>960194</v>
      </c>
      <c r="G15" s="9">
        <v>999277</v>
      </c>
      <c r="H15" s="9">
        <v>1032528</v>
      </c>
      <c r="I15" s="9">
        <v>1062623</v>
      </c>
      <c r="J15" s="9">
        <f>SUM(J16:J19)</f>
        <v>1084961</v>
      </c>
      <c r="K15" s="34">
        <v>1105083</v>
      </c>
      <c r="L15" s="34">
        <v>1128160</v>
      </c>
      <c r="M15" s="34">
        <v>1085385</v>
      </c>
    </row>
    <row r="16" spans="1:13" ht="13.5">
      <c r="A16" s="21" t="s">
        <v>11</v>
      </c>
      <c r="B16" s="10">
        <v>135084</v>
      </c>
      <c r="C16" s="10">
        <v>154357</v>
      </c>
      <c r="D16" s="10">
        <v>200173</v>
      </c>
      <c r="E16" s="10">
        <v>223382</v>
      </c>
      <c r="F16" s="10">
        <v>232565</v>
      </c>
      <c r="G16" s="10">
        <v>240255</v>
      </c>
      <c r="H16" s="10">
        <v>251520</v>
      </c>
      <c r="I16" s="10">
        <v>260166</v>
      </c>
      <c r="J16" s="10">
        <v>268960</v>
      </c>
      <c r="K16" s="33">
        <v>274024</v>
      </c>
      <c r="L16" s="33">
        <v>279962</v>
      </c>
      <c r="M16" s="33">
        <v>269945</v>
      </c>
    </row>
    <row r="17" spans="1:13" ht="15.75">
      <c r="A17" s="31" t="s">
        <v>29</v>
      </c>
      <c r="B17" s="10">
        <f>132958+129816</f>
        <v>262774</v>
      </c>
      <c r="C17" s="10">
        <f>145881+136922</f>
        <v>282803</v>
      </c>
      <c r="D17" s="10">
        <f>175133+155733</f>
        <v>330866</v>
      </c>
      <c r="E17" s="10">
        <f>215567+153028</f>
        <v>368595</v>
      </c>
      <c r="F17" s="10">
        <f>221403+157444</f>
        <v>378847</v>
      </c>
      <c r="G17" s="10">
        <v>392057</v>
      </c>
      <c r="H17" s="10">
        <f>237704+165780</f>
        <v>403484</v>
      </c>
      <c r="I17" s="10">
        <v>413320</v>
      </c>
      <c r="J17" s="10">
        <f>248686+171883</f>
        <v>420569</v>
      </c>
      <c r="K17" s="33">
        <f>253056+173889</f>
        <v>426945</v>
      </c>
      <c r="L17" s="33">
        <f>257587+176218</f>
        <v>433805</v>
      </c>
      <c r="M17" s="33">
        <f>245345+171251</f>
        <v>416596</v>
      </c>
    </row>
    <row r="18" spans="1:13" ht="15.75">
      <c r="A18" s="31" t="s">
        <v>30</v>
      </c>
      <c r="B18" s="10">
        <f>150186+39282</f>
        <v>189468</v>
      </c>
      <c r="C18" s="10">
        <f>163297+43372</f>
        <v>206669</v>
      </c>
      <c r="D18" s="10">
        <f>190512+49948</f>
        <v>240460</v>
      </c>
      <c r="E18" s="10">
        <f>186212+49936</f>
        <v>236148</v>
      </c>
      <c r="F18" s="10">
        <f>190923+50107</f>
        <v>241030</v>
      </c>
      <c r="G18" s="10">
        <v>254100</v>
      </c>
      <c r="H18" s="10">
        <v>257868</v>
      </c>
      <c r="I18" s="10">
        <v>264453</v>
      </c>
      <c r="J18" s="10">
        <f>209561+57960</f>
        <v>267521</v>
      </c>
      <c r="K18" s="33">
        <f>211312+59650</f>
        <v>270962</v>
      </c>
      <c r="L18" s="33">
        <f>213503+61504</f>
        <v>275007</v>
      </c>
      <c r="M18" s="33">
        <f>203368+60294</f>
        <v>263662</v>
      </c>
    </row>
    <row r="19" spans="1:13" ht="13.5">
      <c r="A19" s="21" t="s">
        <v>13</v>
      </c>
      <c r="B19" s="10">
        <v>84704</v>
      </c>
      <c r="C19" s="10">
        <v>86899</v>
      </c>
      <c r="D19" s="10">
        <v>97379</v>
      </c>
      <c r="E19" s="10">
        <v>105164</v>
      </c>
      <c r="F19" s="10">
        <v>107752</v>
      </c>
      <c r="G19" s="10">
        <v>112865</v>
      </c>
      <c r="H19" s="10">
        <v>119656</v>
      </c>
      <c r="I19" s="10">
        <v>124684</v>
      </c>
      <c r="J19" s="10">
        <v>127911</v>
      </c>
      <c r="K19" s="33">
        <v>133152</v>
      </c>
      <c r="L19" s="33">
        <v>139386</v>
      </c>
      <c r="M19" s="33">
        <v>135182</v>
      </c>
    </row>
    <row r="20" spans="1:13" ht="13.5">
      <c r="A20" s="20" t="s">
        <v>16</v>
      </c>
      <c r="B20" s="9">
        <f>SUM(B21:B24)</f>
        <v>855265</v>
      </c>
      <c r="C20" s="9">
        <f>SUM(C21:C24)</f>
        <v>1044098</v>
      </c>
      <c r="D20" s="9">
        <f>SUM(D21:D24)</f>
        <v>1275484</v>
      </c>
      <c r="E20" s="9">
        <f>SUM(E21:E24)</f>
        <v>1489534</v>
      </c>
      <c r="F20" s="9">
        <f>SUM(F21:F24)</f>
        <v>1523886</v>
      </c>
      <c r="G20" s="9">
        <v>1552956</v>
      </c>
      <c r="H20" s="9">
        <v>1595620</v>
      </c>
      <c r="I20" s="9">
        <v>1627618</v>
      </c>
      <c r="J20" s="9">
        <f>SUM(J21:J24)</f>
        <v>1664842</v>
      </c>
      <c r="K20" s="34">
        <v>1676379</v>
      </c>
      <c r="L20" s="34">
        <v>1727596</v>
      </c>
      <c r="M20" s="34">
        <v>1805508</v>
      </c>
    </row>
    <row r="21" spans="1:13" ht="13.5">
      <c r="A21" s="21" t="s">
        <v>11</v>
      </c>
      <c r="B21" s="10">
        <v>161242</v>
      </c>
      <c r="C21" s="10">
        <v>216188</v>
      </c>
      <c r="D21" s="10">
        <v>278901</v>
      </c>
      <c r="E21" s="10">
        <v>341528</v>
      </c>
      <c r="F21" s="10">
        <v>351579</v>
      </c>
      <c r="G21" s="10">
        <v>361433</v>
      </c>
      <c r="H21" s="10">
        <v>374622</v>
      </c>
      <c r="I21" s="10">
        <v>383259</v>
      </c>
      <c r="J21" s="10">
        <v>393580</v>
      </c>
      <c r="K21" s="33">
        <v>399890</v>
      </c>
      <c r="L21" s="33">
        <v>408618</v>
      </c>
      <c r="M21" s="33">
        <v>432633</v>
      </c>
    </row>
    <row r="22" spans="1:13" ht="15.75">
      <c r="A22" s="31" t="s">
        <v>29</v>
      </c>
      <c r="B22" s="10">
        <f>79690+229469+175030</f>
        <v>484189</v>
      </c>
      <c r="C22" s="10">
        <f>97408+279121+201741</f>
        <v>578270</v>
      </c>
      <c r="D22" s="10">
        <f>127465+335543+236225</f>
        <v>699233</v>
      </c>
      <c r="E22" s="10">
        <f>151560+370338+293272</f>
        <v>815170</v>
      </c>
      <c r="F22" s="10">
        <f>157502+377776+299345</f>
        <v>834623</v>
      </c>
      <c r="G22" s="10">
        <v>846627</v>
      </c>
      <c r="H22" s="10">
        <v>862996</v>
      </c>
      <c r="I22" s="10">
        <v>878153</v>
      </c>
      <c r="J22" s="10">
        <f>177142+398652+324367</f>
        <v>900161</v>
      </c>
      <c r="K22" s="33">
        <f>182758+401037+329931</f>
        <v>913726</v>
      </c>
      <c r="L22" s="33">
        <f>189634+408336+339387</f>
        <v>937357</v>
      </c>
      <c r="M22" s="33">
        <f>199520+425622+348794</f>
        <v>973936</v>
      </c>
    </row>
    <row r="23" spans="1:13" ht="13.5">
      <c r="A23" s="21" t="s">
        <v>12</v>
      </c>
      <c r="B23" s="10">
        <v>83043</v>
      </c>
      <c r="C23" s="10">
        <v>89578</v>
      </c>
      <c r="D23" s="10">
        <v>106297</v>
      </c>
      <c r="E23" s="10">
        <v>126929</v>
      </c>
      <c r="F23" s="10">
        <v>129310</v>
      </c>
      <c r="G23" s="10">
        <v>130146</v>
      </c>
      <c r="H23" s="10">
        <v>131905</v>
      </c>
      <c r="I23" s="10">
        <v>131603</v>
      </c>
      <c r="J23" s="10">
        <v>135371</v>
      </c>
      <c r="K23" s="33">
        <v>137922</v>
      </c>
      <c r="L23" s="33">
        <v>141874</v>
      </c>
      <c r="M23" s="33">
        <v>153751</v>
      </c>
    </row>
    <row r="24" spans="1:13" ht="13.5">
      <c r="A24" s="21" t="s">
        <v>13</v>
      </c>
      <c r="B24" s="10">
        <v>126791</v>
      </c>
      <c r="C24" s="10">
        <v>160062</v>
      </c>
      <c r="D24" s="10">
        <v>191053</v>
      </c>
      <c r="E24" s="10">
        <v>205907</v>
      </c>
      <c r="F24" s="10">
        <v>208374</v>
      </c>
      <c r="G24" s="10">
        <v>214750</v>
      </c>
      <c r="H24" s="10">
        <v>226097</v>
      </c>
      <c r="I24" s="10">
        <v>234603</v>
      </c>
      <c r="J24" s="10">
        <v>235730</v>
      </c>
      <c r="K24" s="33">
        <v>224841</v>
      </c>
      <c r="L24" s="33">
        <v>239747</v>
      </c>
      <c r="M24" s="33">
        <v>245188</v>
      </c>
    </row>
    <row r="25" spans="1:13" ht="13.5">
      <c r="A25" s="20" t="s">
        <v>14</v>
      </c>
      <c r="B25" s="10"/>
      <c r="C25" s="10"/>
      <c r="D25" s="10"/>
      <c r="E25" s="10"/>
      <c r="F25" s="10"/>
      <c r="G25" s="10"/>
      <c r="H25" s="10"/>
      <c r="I25" s="10"/>
      <c r="J25" s="5"/>
      <c r="K25" s="33"/>
      <c r="L25" s="33"/>
      <c r="M25" s="33"/>
    </row>
    <row r="26" spans="1:13" ht="13.5">
      <c r="A26" s="20" t="s">
        <v>15</v>
      </c>
      <c r="B26" s="23">
        <f>B4/B15*100</f>
        <v>4.396381113938365</v>
      </c>
      <c r="C26" s="23">
        <f aca="true" t="shared" si="2" ref="C26:J26">C4/C15*100</f>
        <v>3.3517259500114958</v>
      </c>
      <c r="D26" s="23">
        <f t="shared" si="2"/>
        <v>2.9677354012876376</v>
      </c>
      <c r="E26" s="23">
        <f t="shared" si="2"/>
        <v>2.5691934652610287</v>
      </c>
      <c r="F26" s="23">
        <f t="shared" si="2"/>
        <v>2.552609160232203</v>
      </c>
      <c r="G26" s="23">
        <v>2.49</v>
      </c>
      <c r="H26" s="23">
        <v>2.4</v>
      </c>
      <c r="I26" s="23">
        <v>2.370078569727928</v>
      </c>
      <c r="J26" s="23">
        <f t="shared" si="2"/>
        <v>2.178880162512754</v>
      </c>
      <c r="K26" s="23">
        <f aca="true" t="shared" si="3" ref="K26:K35">K4/K15*100</f>
        <v>2.1171260439261124</v>
      </c>
      <c r="L26" s="23">
        <f aca="true" t="shared" si="4" ref="L26:L35">L4/L15*100</f>
        <v>2.2774251879166076</v>
      </c>
      <c r="M26" s="23">
        <f>M4/M15*100</f>
        <v>2.3220331955941904</v>
      </c>
    </row>
    <row r="27" spans="1:13" ht="13.5">
      <c r="A27" s="21" t="s">
        <v>11</v>
      </c>
      <c r="B27" s="24">
        <f>B5/B16*100</f>
        <v>1.6752539160818452</v>
      </c>
      <c r="C27" s="24">
        <f aca="true" t="shared" si="5" ref="C27:J27">C5/C16*100</f>
        <v>1.3870443193376394</v>
      </c>
      <c r="D27" s="24">
        <f t="shared" si="5"/>
        <v>1.3523302343472896</v>
      </c>
      <c r="E27" s="24">
        <f t="shared" si="5"/>
        <v>1.197500246215004</v>
      </c>
      <c r="F27" s="24">
        <f t="shared" si="5"/>
        <v>1.2491131511620406</v>
      </c>
      <c r="G27" s="24">
        <v>1.26</v>
      </c>
      <c r="H27" s="24">
        <v>1.2344942748091603</v>
      </c>
      <c r="I27" s="24">
        <v>1.2468962124182252</v>
      </c>
      <c r="J27" s="24">
        <f t="shared" si="5"/>
        <v>1.1893961927424153</v>
      </c>
      <c r="K27" s="24">
        <f t="shared" si="3"/>
        <v>1.1331124281084868</v>
      </c>
      <c r="L27" s="24">
        <f t="shared" si="4"/>
        <v>1.1776598252619999</v>
      </c>
      <c r="M27" s="24">
        <f>M5/M16*100</f>
        <v>1.2006149400803867</v>
      </c>
    </row>
    <row r="28" spans="1:13" ht="15.75">
      <c r="A28" s="31" t="s">
        <v>29</v>
      </c>
      <c r="B28" s="24">
        <f aca="true" t="shared" si="6" ref="B28:J28">B6/B17*100</f>
        <v>4.668650627535449</v>
      </c>
      <c r="C28" s="24">
        <f t="shared" si="6"/>
        <v>3.5148141992836</v>
      </c>
      <c r="D28" s="24">
        <f t="shared" si="6"/>
        <v>2.990032218481198</v>
      </c>
      <c r="E28" s="24">
        <f t="shared" si="6"/>
        <v>2.698625863074648</v>
      </c>
      <c r="F28" s="24">
        <f t="shared" si="6"/>
        <v>2.496522342792737</v>
      </c>
      <c r="G28" s="24">
        <v>2.5</v>
      </c>
      <c r="H28" s="24">
        <v>2.3777894538569067</v>
      </c>
      <c r="I28" s="24">
        <v>2.3161231007451852</v>
      </c>
      <c r="J28" s="24">
        <f t="shared" si="6"/>
        <v>2.119271748512135</v>
      </c>
      <c r="K28" s="24">
        <f t="shared" si="3"/>
        <v>2.0358594198315942</v>
      </c>
      <c r="L28" s="24">
        <f t="shared" si="4"/>
        <v>2.1571904427104345</v>
      </c>
      <c r="M28" s="24">
        <f aca="true" t="shared" si="7" ref="M28:M35">M6/M17*100</f>
        <v>2.3579199032155853</v>
      </c>
    </row>
    <row r="29" spans="1:13" ht="15.75">
      <c r="A29" s="31" t="s">
        <v>30</v>
      </c>
      <c r="B29" s="24">
        <f aca="true" t="shared" si="8" ref="B29:J29">B7/B18*100</f>
        <v>5.280047290307598</v>
      </c>
      <c r="C29" s="24">
        <f t="shared" si="8"/>
        <v>3.9720519284459694</v>
      </c>
      <c r="D29" s="24">
        <f t="shared" si="8"/>
        <v>3.6812775513598934</v>
      </c>
      <c r="E29" s="24">
        <f t="shared" si="8"/>
        <v>3.1340515270084865</v>
      </c>
      <c r="F29" s="24">
        <f t="shared" si="8"/>
        <v>3.1037630170518193</v>
      </c>
      <c r="G29" s="24">
        <v>2.98</v>
      </c>
      <c r="H29" s="24">
        <v>2.944529759411792</v>
      </c>
      <c r="I29" s="24">
        <v>2.8719659069853622</v>
      </c>
      <c r="J29" s="24">
        <f t="shared" si="8"/>
        <v>2.6715659705219403</v>
      </c>
      <c r="K29" s="24">
        <f t="shared" si="3"/>
        <v>2.6959499856068376</v>
      </c>
      <c r="L29" s="24">
        <f t="shared" si="4"/>
        <v>2.8995625565894687</v>
      </c>
      <c r="M29" s="24">
        <f t="shared" si="7"/>
        <v>2.930266780954404</v>
      </c>
    </row>
    <row r="30" spans="1:13" ht="13.5">
      <c r="A30" s="21" t="s">
        <v>13</v>
      </c>
      <c r="B30" s="24">
        <f aca="true" t="shared" si="9" ref="B30:J30">B8/B19*100</f>
        <v>5.914714771439365</v>
      </c>
      <c r="C30" s="24">
        <f t="shared" si="9"/>
        <v>4.835498682378393</v>
      </c>
      <c r="D30" s="24">
        <f t="shared" si="9"/>
        <v>4.450651577855595</v>
      </c>
      <c r="E30" s="24">
        <f t="shared" si="9"/>
        <v>3.760792666692024</v>
      </c>
      <c r="F30" s="24">
        <f t="shared" si="9"/>
        <v>4.330314054495508</v>
      </c>
      <c r="G30" s="24">
        <v>3.95</v>
      </c>
      <c r="H30" s="24">
        <v>3.73</v>
      </c>
      <c r="I30" s="24">
        <v>3.8280773796156686</v>
      </c>
      <c r="J30" s="24">
        <f t="shared" si="9"/>
        <v>3.425037721540759</v>
      </c>
      <c r="K30" s="24">
        <f t="shared" si="3"/>
        <v>3.2248858447488584</v>
      </c>
      <c r="L30" s="24">
        <f t="shared" si="4"/>
        <v>3.6330764926176227</v>
      </c>
      <c r="M30" s="24">
        <f t="shared" si="7"/>
        <v>3.26448787560474</v>
      </c>
    </row>
    <row r="31" spans="1:13" ht="13.5">
      <c r="A31" s="20" t="s">
        <v>16</v>
      </c>
      <c r="B31" s="23">
        <f>B9/B20*100</f>
        <v>2.5192191893740534</v>
      </c>
      <c r="C31" s="23">
        <f aca="true" t="shared" si="10" ref="C31:J31">C9/C20*100</f>
        <v>1.851646109847926</v>
      </c>
      <c r="D31" s="23">
        <f t="shared" si="10"/>
        <v>1.4749695017734443</v>
      </c>
      <c r="E31" s="23">
        <f t="shared" si="10"/>
        <v>1.1976228807130282</v>
      </c>
      <c r="F31" s="23">
        <f t="shared" si="10"/>
        <v>1.1519890595490738</v>
      </c>
      <c r="G31" s="23">
        <v>1.1</v>
      </c>
      <c r="H31" s="23">
        <v>1.0117070480440205</v>
      </c>
      <c r="I31" s="23">
        <v>0.981188460683035</v>
      </c>
      <c r="J31" s="23">
        <f t="shared" si="10"/>
        <v>0.9427321031064809</v>
      </c>
      <c r="K31" s="23">
        <f t="shared" si="3"/>
        <v>0.9078495972569449</v>
      </c>
      <c r="L31" s="23">
        <f t="shared" si="4"/>
        <v>0.9700763372918206</v>
      </c>
      <c r="M31" s="23">
        <f t="shared" si="7"/>
        <v>0.931870697886689</v>
      </c>
    </row>
    <row r="32" spans="1:13" ht="13.5">
      <c r="A32" s="21" t="s">
        <v>11</v>
      </c>
      <c r="B32" s="24">
        <f>B10/B21*100</f>
        <v>1.3544858039468624</v>
      </c>
      <c r="C32" s="24">
        <f aca="true" t="shared" si="11" ref="C32:J32">C10/C21*100</f>
        <v>0.9366847373582253</v>
      </c>
      <c r="D32" s="24">
        <f t="shared" si="11"/>
        <v>0.8074549750628358</v>
      </c>
      <c r="E32" s="24">
        <f t="shared" si="11"/>
        <v>0.6306949942610854</v>
      </c>
      <c r="F32" s="24">
        <f t="shared" si="11"/>
        <v>0.6607334340219411</v>
      </c>
      <c r="G32" s="24">
        <v>0.6310989865341571</v>
      </c>
      <c r="H32" s="24">
        <v>0.6094142896039207</v>
      </c>
      <c r="I32" s="24">
        <v>0.6139451389269398</v>
      </c>
      <c r="J32" s="24">
        <f t="shared" si="11"/>
        <v>0.6067381472635804</v>
      </c>
      <c r="K32" s="24">
        <f t="shared" si="3"/>
        <v>0.5929130510890496</v>
      </c>
      <c r="L32" s="24">
        <f t="shared" si="4"/>
        <v>0.6000714603859839</v>
      </c>
      <c r="M32" s="24">
        <f t="shared" si="7"/>
        <v>0.5487329907797139</v>
      </c>
    </row>
    <row r="33" spans="1:13" ht="15.75">
      <c r="A33" s="31" t="s">
        <v>29</v>
      </c>
      <c r="B33" s="24">
        <f aca="true" t="shared" si="12" ref="B33:J33">B11/B22*100</f>
        <v>2.633682301745806</v>
      </c>
      <c r="C33" s="24">
        <f t="shared" si="12"/>
        <v>2.165251526103723</v>
      </c>
      <c r="D33" s="24">
        <f t="shared" si="12"/>
        <v>1.6792685699902605</v>
      </c>
      <c r="E33" s="24">
        <f t="shared" si="12"/>
        <v>1.339107180097403</v>
      </c>
      <c r="F33" s="24">
        <f t="shared" si="12"/>
        <v>1.2887255683104826</v>
      </c>
      <c r="G33" s="24">
        <v>1.2098598320157519</v>
      </c>
      <c r="H33" s="24">
        <v>1.1473981339426833</v>
      </c>
      <c r="I33" s="24">
        <v>1.0963920865726131</v>
      </c>
      <c r="J33" s="24">
        <f t="shared" si="12"/>
        <v>1.0489234703569696</v>
      </c>
      <c r="K33" s="24">
        <f t="shared" si="3"/>
        <v>0.9672483873721444</v>
      </c>
      <c r="L33" s="24">
        <f t="shared" si="4"/>
        <v>1.0350378777776237</v>
      </c>
      <c r="M33" s="24">
        <f>M11/M22*100</f>
        <v>1.0089985378916069</v>
      </c>
    </row>
    <row r="34" spans="1:13" ht="13.5">
      <c r="A34" s="21" t="s">
        <v>12</v>
      </c>
      <c r="B34" s="24">
        <f aca="true" t="shared" si="13" ref="B34:J34">B12/B23*100</f>
        <v>2.6805389978685743</v>
      </c>
      <c r="C34" s="24">
        <f t="shared" si="13"/>
        <v>1.89332202103195</v>
      </c>
      <c r="D34" s="24">
        <f t="shared" si="13"/>
        <v>1.3424649801969952</v>
      </c>
      <c r="E34" s="24">
        <f t="shared" si="13"/>
        <v>1.1352803535834994</v>
      </c>
      <c r="F34" s="24">
        <f t="shared" si="13"/>
        <v>0.9976026602737607</v>
      </c>
      <c r="G34" s="24">
        <v>1.074946598435603</v>
      </c>
      <c r="H34" s="24">
        <v>0.7861718661157652</v>
      </c>
      <c r="I34" s="24">
        <v>0.7834167914105301</v>
      </c>
      <c r="J34" s="24">
        <f t="shared" si="13"/>
        <v>0.7291074159162598</v>
      </c>
      <c r="K34" s="24">
        <f t="shared" si="3"/>
        <v>0.7301228230449095</v>
      </c>
      <c r="L34" s="24">
        <f t="shared" si="4"/>
        <v>0.8007104895893539</v>
      </c>
      <c r="M34" s="24">
        <f t="shared" si="7"/>
        <v>0.7785315217462</v>
      </c>
    </row>
    <row r="35" spans="1:13" ht="14.25" thickBot="1">
      <c r="A35" s="27" t="s">
        <v>13</v>
      </c>
      <c r="B35" s="25">
        <f aca="true" t="shared" si="14" ref="B35:J35">B13/B24*100</f>
        <v>3.457658666624603</v>
      </c>
      <c r="C35" s="25">
        <f t="shared" si="14"/>
        <v>1.9311266884082419</v>
      </c>
      <c r="D35" s="25">
        <f t="shared" si="14"/>
        <v>1.7754235735633568</v>
      </c>
      <c r="E35" s="25">
        <f t="shared" si="14"/>
        <v>1.6162636530083971</v>
      </c>
      <c r="F35" s="25">
        <f t="shared" si="14"/>
        <v>1.528981542802845</v>
      </c>
      <c r="G35" s="25">
        <v>1.469150174621653</v>
      </c>
      <c r="H35" s="25">
        <v>1.29</v>
      </c>
      <c r="I35" s="25">
        <v>1.2608534417718444</v>
      </c>
      <c r="J35" s="25">
        <f t="shared" si="14"/>
        <v>1.2208883044160692</v>
      </c>
      <c r="K35" s="25">
        <f t="shared" si="3"/>
        <v>1.3356104980853136</v>
      </c>
      <c r="L35" s="25">
        <f t="shared" si="4"/>
        <v>1.446941984675512</v>
      </c>
      <c r="M35" s="25">
        <f t="shared" si="7"/>
        <v>1.3977029870956166</v>
      </c>
    </row>
    <row r="36" spans="1:15" ht="12.75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3.5">
      <c r="A37" s="45" t="s">
        <v>26</v>
      </c>
      <c r="B37" s="45"/>
      <c r="C37" s="45"/>
      <c r="D37" s="45"/>
      <c r="E37" s="45"/>
      <c r="F37" s="45"/>
      <c r="G37" s="45"/>
      <c r="H37" s="45"/>
      <c r="I37" s="28"/>
      <c r="J37" s="28"/>
      <c r="K37" s="28"/>
      <c r="L37" s="28"/>
      <c r="M37" s="28"/>
      <c r="N37" s="28"/>
      <c r="O37" s="28"/>
    </row>
    <row r="38" spans="1:15" ht="12.75">
      <c r="A38" s="46" t="s">
        <v>27</v>
      </c>
      <c r="B38" s="46"/>
      <c r="C38" s="46"/>
      <c r="D38" s="46"/>
      <c r="E38" s="46"/>
      <c r="F38" s="46"/>
      <c r="G38" s="46"/>
      <c r="H38" s="46"/>
      <c r="I38" s="29"/>
      <c r="J38" s="29"/>
      <c r="K38" s="29"/>
      <c r="L38" s="29"/>
      <c r="M38" s="29"/>
      <c r="N38" s="29"/>
      <c r="O38" s="29"/>
    </row>
    <row r="39" spans="1:15" ht="13.5">
      <c r="A39" s="45" t="s">
        <v>28</v>
      </c>
      <c r="B39" s="45"/>
      <c r="C39" s="45"/>
      <c r="D39" s="45"/>
      <c r="E39" s="45"/>
      <c r="F39" s="45"/>
      <c r="G39" s="45"/>
      <c r="H39" s="45"/>
      <c r="I39" s="28"/>
      <c r="J39" s="28"/>
      <c r="K39" s="28"/>
      <c r="L39" s="28"/>
      <c r="M39" s="28"/>
      <c r="N39" s="28"/>
      <c r="O39" s="28"/>
    </row>
    <row r="40" spans="1:15" ht="13.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2" ht="14.25" customHeight="1">
      <c r="A41" s="42" t="s">
        <v>5</v>
      </c>
      <c r="B41" s="42"/>
      <c r="C41" s="42"/>
      <c r="D41" s="42"/>
      <c r="E41" s="42"/>
      <c r="F41" s="42"/>
      <c r="G41" s="43"/>
      <c r="H41" s="12"/>
      <c r="I41" s="12"/>
      <c r="J41" s="12"/>
      <c r="K41" s="12"/>
      <c r="L41" s="12"/>
    </row>
    <row r="42" spans="1:12" ht="14.25" customHeight="1">
      <c r="A42" s="44" t="s">
        <v>6</v>
      </c>
      <c r="B42" s="44"/>
      <c r="C42" s="44"/>
      <c r="D42" s="44"/>
      <c r="E42" s="44"/>
      <c r="F42" s="12"/>
      <c r="G42" s="37"/>
      <c r="H42" s="12"/>
      <c r="I42" s="12"/>
      <c r="J42" s="12"/>
      <c r="K42" s="12"/>
      <c r="L42" s="12"/>
    </row>
    <row r="43" spans="1:12" ht="24.75" customHeight="1">
      <c r="A43" s="44" t="s">
        <v>4</v>
      </c>
      <c r="B43" s="44"/>
      <c r="C43" s="44"/>
      <c r="D43" s="44"/>
      <c r="E43" s="44"/>
      <c r="F43" s="44"/>
      <c r="G43" s="41"/>
      <c r="H43" s="41"/>
      <c r="I43" s="12"/>
      <c r="J43" s="12"/>
      <c r="K43" s="12"/>
      <c r="L43" s="12"/>
    </row>
    <row r="44" spans="1:12" ht="12.75" customHeight="1">
      <c r="A44" s="19"/>
      <c r="B44" s="19"/>
      <c r="C44" s="19"/>
      <c r="D44" s="19"/>
      <c r="E44" s="19"/>
      <c r="F44" s="19"/>
      <c r="G44" s="35"/>
      <c r="H44" s="12"/>
      <c r="I44" s="12"/>
      <c r="J44" s="12"/>
      <c r="K44" s="12"/>
      <c r="L44" s="12"/>
    </row>
    <row r="45" spans="1:12" ht="15" customHeight="1">
      <c r="A45" s="12" t="s">
        <v>2</v>
      </c>
      <c r="B45" s="12"/>
      <c r="C45" s="12"/>
      <c r="D45" s="12"/>
      <c r="E45" s="12"/>
      <c r="F45" s="12"/>
      <c r="G45" s="37"/>
      <c r="H45" s="12"/>
      <c r="I45" s="12"/>
      <c r="J45" s="12"/>
      <c r="K45" s="12"/>
      <c r="L45" s="12"/>
    </row>
    <row r="46" spans="1:12" ht="12.75" customHeight="1">
      <c r="A46" s="17" t="s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24" customHeight="1">
      <c r="A47" s="38" t="s">
        <v>33</v>
      </c>
      <c r="B47" s="47"/>
      <c r="C47" s="47"/>
      <c r="D47" s="47"/>
      <c r="E47" s="47"/>
      <c r="F47" s="47"/>
      <c r="G47" s="47"/>
      <c r="H47" s="47"/>
      <c r="I47" s="13"/>
      <c r="J47" s="13"/>
      <c r="K47" s="13"/>
      <c r="L47" s="13"/>
    </row>
    <row r="48" spans="1:12" ht="12.75">
      <c r="A48" s="38" t="s">
        <v>32</v>
      </c>
      <c r="B48" s="38"/>
      <c r="C48" s="38"/>
      <c r="D48" s="38"/>
      <c r="E48" s="38"/>
      <c r="F48" s="38"/>
      <c r="G48" s="38"/>
      <c r="H48" s="38"/>
      <c r="I48" s="13"/>
      <c r="J48" s="13"/>
      <c r="K48" s="13"/>
      <c r="L48" s="13"/>
    </row>
    <row r="49" spans="1:12" s="3" customFormat="1" ht="24" customHeight="1">
      <c r="A49" s="48" t="s">
        <v>34</v>
      </c>
      <c r="B49" s="48"/>
      <c r="C49" s="48"/>
      <c r="D49" s="48"/>
      <c r="E49" s="48"/>
      <c r="F49" s="48"/>
      <c r="G49" s="48"/>
      <c r="H49" s="48"/>
      <c r="I49" s="14"/>
      <c r="J49" s="14"/>
      <c r="K49" s="14"/>
      <c r="L49" s="14"/>
    </row>
    <row r="50" spans="1:12" s="3" customFormat="1" ht="12.75">
      <c r="A50" s="18" t="s">
        <v>8</v>
      </c>
      <c r="H50" s="14"/>
      <c r="I50" s="14"/>
      <c r="J50" s="14"/>
      <c r="K50" s="14"/>
      <c r="L50" s="14"/>
    </row>
    <row r="51" spans="1:12" s="3" customFormat="1" ht="24" customHeight="1">
      <c r="A51" s="39" t="s">
        <v>35</v>
      </c>
      <c r="B51" s="40"/>
      <c r="C51" s="40"/>
      <c r="D51" s="40"/>
      <c r="E51" s="40"/>
      <c r="F51" s="40"/>
      <c r="G51" s="40"/>
      <c r="H51" s="41"/>
      <c r="I51" s="13"/>
      <c r="J51" s="13"/>
      <c r="K51" s="13"/>
      <c r="L51" s="13"/>
    </row>
    <row r="52" spans="1:12" s="3" customFormat="1" ht="25.5" customHeight="1">
      <c r="A52" s="49" t="s">
        <v>31</v>
      </c>
      <c r="B52" s="49"/>
      <c r="C52" s="49"/>
      <c r="D52" s="49"/>
      <c r="E52" s="49"/>
      <c r="F52" s="49"/>
      <c r="G52" s="49"/>
      <c r="H52" s="50"/>
      <c r="I52" s="14"/>
      <c r="J52" s="14"/>
      <c r="K52" s="14"/>
      <c r="L52" s="14"/>
    </row>
    <row r="53" spans="1:12" s="3" customFormat="1" ht="12.75" customHeight="1">
      <c r="A53" s="40" t="s">
        <v>9</v>
      </c>
      <c r="B53" s="40"/>
      <c r="C53" s="40"/>
      <c r="D53" s="40"/>
      <c r="E53" s="40"/>
      <c r="F53" s="40"/>
      <c r="G53" s="40"/>
      <c r="H53" s="41"/>
      <c r="I53" s="14"/>
      <c r="J53" s="14"/>
      <c r="K53" s="14"/>
      <c r="L53" s="14"/>
    </row>
    <row r="54" spans="1:12" s="3" customFormat="1" ht="12.75">
      <c r="A54" s="39" t="s">
        <v>3</v>
      </c>
      <c r="B54" s="40"/>
      <c r="C54" s="40"/>
      <c r="D54" s="40"/>
      <c r="E54" s="40"/>
      <c r="F54" s="40"/>
      <c r="G54" s="40"/>
      <c r="H54" s="41"/>
      <c r="I54" s="13"/>
      <c r="J54" s="13"/>
      <c r="K54" s="13"/>
      <c r="L54" s="13"/>
    </row>
    <row r="55" spans="1:12" s="3" customFormat="1" ht="12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s="3" customFormat="1" ht="12.75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</sheetData>
  <mergeCells count="14">
    <mergeCell ref="A41:G41"/>
    <mergeCell ref="A42:E42"/>
    <mergeCell ref="A43:H43"/>
    <mergeCell ref="A37:H37"/>
    <mergeCell ref="A38:H38"/>
    <mergeCell ref="A39:H39"/>
    <mergeCell ref="A1:M1"/>
    <mergeCell ref="A49:H49"/>
    <mergeCell ref="A47:H47"/>
    <mergeCell ref="A48:H48"/>
    <mergeCell ref="A54:H54"/>
    <mergeCell ref="A53:H53"/>
    <mergeCell ref="A52:H52"/>
    <mergeCell ref="A51:H51"/>
  </mergeCells>
  <printOptions/>
  <pageMargins left="0.5" right="0.5" top="0.5" bottom="0.5" header="0.25" footer="0.25"/>
  <pageSetup fitToHeight="1" fitToWidth="1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2004-12-13T19:58:44Z</cp:lastPrinted>
  <dcterms:created xsi:type="dcterms:W3CDTF">1999-03-30T21:11:30Z</dcterms:created>
  <dcterms:modified xsi:type="dcterms:W3CDTF">2004-12-27T05:41:55Z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2002605742</vt:i4>
  </property>
  <property fmtid="{D5CDD505-2E9C-101B-9397-08002B2CF9AE}" pid="3" name="_EmailSubject">
    <vt:lpwstr>First batch of updated tables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-663555692</vt:i4>
  </property>
  <property fmtid="{D5CDD505-2E9C-101B-9397-08002B2CF9AE}" pid="7" name="_ReviewingToolsShownOnce">
    <vt:lpwstr/>
  </property>
</Properties>
</file>