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1425" windowWidth="8040" windowHeight="3645" activeTab="0"/>
  </bookViews>
  <sheets>
    <sheet name="1-26" sheetId="1" r:id="rId1"/>
  </sheets>
  <definedNames>
    <definedName name="_xlnm.Print_Area" localSheetId="0">'1-26'!$A$1:$O$90</definedName>
  </definedNames>
  <calcPr fullCalcOnLoad="1"/>
</workbook>
</file>

<file path=xl/sharedStrings.xml><?xml version="1.0" encoding="utf-8"?>
<sst xmlns="http://schemas.openxmlformats.org/spreadsheetml/2006/main" count="294" uniqueCount="43">
  <si>
    <t>N</t>
  </si>
  <si>
    <t>Data are for the 50 states and the District of Columbia.</t>
  </si>
  <si>
    <t>–</t>
  </si>
  <si>
    <t>b</t>
  </si>
  <si>
    <r>
      <t xml:space="preserve">b </t>
    </r>
    <r>
      <rPr>
        <sz val="9"/>
        <rFont val="Arial"/>
        <family val="2"/>
      </rPr>
      <t xml:space="preserve"> Included in row below.</t>
    </r>
  </si>
  <si>
    <t xml:space="preserve">SOURCES  </t>
  </si>
  <si>
    <t>NOTES</t>
  </si>
  <si>
    <t>Interstates miles reported</t>
  </si>
  <si>
    <t>Poor, percent</t>
  </si>
  <si>
    <t>Mediocre, percent</t>
  </si>
  <si>
    <t>Fair, percent</t>
  </si>
  <si>
    <t>Good, percent</t>
  </si>
  <si>
    <t>Very good, percent</t>
  </si>
  <si>
    <t>Unpaved, percent</t>
  </si>
  <si>
    <t>Other principal arterials miles reported</t>
  </si>
  <si>
    <t>Minor arterials miles reported</t>
  </si>
  <si>
    <t>Major collectors miles reported</t>
  </si>
  <si>
    <t>Other freeways and expressway miles reported</t>
  </si>
  <si>
    <t>Collectors miles reported</t>
  </si>
  <si>
    <t>1990</t>
  </si>
  <si>
    <t>1991</t>
  </si>
  <si>
    <t>1992</t>
  </si>
  <si>
    <t>1993</t>
  </si>
  <si>
    <t>1994</t>
  </si>
  <si>
    <t>1995</t>
  </si>
  <si>
    <t>1996</t>
  </si>
  <si>
    <t>1997</t>
  </si>
  <si>
    <t>1998</t>
  </si>
  <si>
    <t>1999</t>
  </si>
  <si>
    <t>2000</t>
  </si>
  <si>
    <t>RURAL</t>
  </si>
  <si>
    <t>URBAN</t>
  </si>
  <si>
    <t>2001</t>
  </si>
  <si>
    <t>TABLE 1-26:  Condition of U.S. Roadways by Functional System</t>
  </si>
  <si>
    <r>
      <t xml:space="preserve">1990-92:  U.S. Department of Transportation, Federal Highway Administration, </t>
    </r>
    <r>
      <rPr>
        <i/>
        <sz val="9"/>
        <rFont val="Arial"/>
        <family val="2"/>
      </rPr>
      <t>Highway Statistics</t>
    </r>
    <r>
      <rPr>
        <sz val="9"/>
        <rFont val="Arial"/>
        <family val="2"/>
      </rPr>
      <t xml:space="preserve"> (Washington, DC: Annual issues), table HM-63.</t>
    </r>
  </si>
  <si>
    <t>2002</t>
  </si>
  <si>
    <r>
      <t>Miles not reported</t>
    </r>
    <r>
      <rPr>
        <vertAlign val="superscript"/>
        <sz val="11"/>
        <rFont val="Arial Narrow"/>
        <family val="2"/>
      </rPr>
      <t>a</t>
    </r>
  </si>
  <si>
    <r>
      <t xml:space="preserve">a  </t>
    </r>
    <r>
      <rPr>
        <sz val="9"/>
        <rFont val="Arial"/>
        <family val="2"/>
      </rPr>
      <t xml:space="preserve">Historical differences in miles not reported result from the transition from the Present Serviceability Rating (PSR) to the International Roughness Indicator (IRI).  </t>
    </r>
  </si>
  <si>
    <t>Numbers may not add to totals due to rounding.</t>
  </si>
  <si>
    <r>
      <t>KEY:</t>
    </r>
    <r>
      <rPr>
        <sz val="9"/>
        <rFont val="Arial"/>
        <family val="2"/>
      </rPr>
      <t xml:space="preserve"> N = data do not exist;  – = value too small to report.</t>
    </r>
  </si>
  <si>
    <t>2003</t>
  </si>
  <si>
    <t>1993-2003: Ibid., table HM-63 for rural major collector, urban minor arterial, and urban collector, and table HM-64 for all other categories.</t>
  </si>
  <si>
    <r>
      <t>Because of the transition to a new indicator for pavement condition beginning with data published in 1993 by the U.S. Department of Transportation, Federal Highway Administration (FHWA) comparisons between pre-1993 data and 1993 and later data are difficult. Thus, trend comparisons should be made with care. For additional information, the reader is referred to the accuracy profile for this table in the appendix. Total mileage in this table will not match that in table 1-5 because of a change in the method of creating mileage-based tables derived from the Highway Performance Monitoring System, beginning with the 1997 issue of FHWA's Highway Statistics.</t>
    </r>
    <r>
      <rPr>
        <i/>
        <sz val="9"/>
        <rFont val="Arial"/>
        <family val="2"/>
      </rPr>
      <t xml:space="preserve"> </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</si>
</sst>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0_w"/>
    <numFmt numFmtId="167" formatCode="0.0"/>
    <numFmt numFmtId="168" formatCode="#,##0.0"/>
    <numFmt numFmtId="169" formatCode="0.00000"/>
    <numFmt numFmtId="170" formatCode="0.0000"/>
    <numFmt numFmtId="171" formatCode="0.000"/>
    <numFmt numFmtId="172" formatCode="0.000000"/>
    <numFmt numFmtId="173" formatCode="&quot;(R)&quot;\ #,##0;&quot;(R) -&quot;#,##0;&quot;(R) &quot;\ 0"/>
    <numFmt numFmtId="174" formatCode="&quot;(R)&quot;\ #,##0.0;&quot;(R) -&quot;#,##0.0;&quot;(R) &quot;\ 0.0"/>
  </numFmts>
  <fonts count="27">
    <font>
      <sz val="10"/>
      <name val="Arial"/>
      <family val="0"/>
    </font>
    <font>
      <b/>
      <sz val="10"/>
      <name val="Arial"/>
      <family val="0"/>
    </font>
    <font>
      <i/>
      <sz val="10"/>
      <name val="Arial"/>
      <family val="0"/>
    </font>
    <font>
      <b/>
      <i/>
      <sz val="10"/>
      <name val="Arial"/>
      <family val="0"/>
    </font>
    <font>
      <sz val="10"/>
      <name val="Helv"/>
      <family val="0"/>
    </font>
    <font>
      <sz val="9"/>
      <name val="Helv"/>
      <family val="0"/>
    </font>
    <font>
      <vertAlign val="superscript"/>
      <sz val="12"/>
      <name val="Helv"/>
      <family val="0"/>
    </font>
    <font>
      <sz val="8"/>
      <name val="Helv"/>
      <family val="0"/>
    </font>
    <font>
      <b/>
      <sz val="10"/>
      <name val="Helv"/>
      <family val="0"/>
    </font>
    <font>
      <b/>
      <sz val="9"/>
      <name val="Helv"/>
      <family val="0"/>
    </font>
    <font>
      <sz val="8.5"/>
      <name val="Helv"/>
      <family val="0"/>
    </font>
    <font>
      <b/>
      <sz val="14"/>
      <name val="Helv"/>
      <family val="0"/>
    </font>
    <font>
      <b/>
      <sz val="12"/>
      <name val="Helv"/>
      <family val="0"/>
    </font>
    <font>
      <b/>
      <sz val="12"/>
      <name val="Arial"/>
      <family val="2"/>
    </font>
    <font>
      <sz val="9"/>
      <name val="Arial"/>
      <family val="2"/>
    </font>
    <font>
      <b/>
      <sz val="9"/>
      <name val="Arial"/>
      <family val="2"/>
    </font>
    <font>
      <b/>
      <sz val="9"/>
      <name val="Arial Narrow"/>
      <family val="2"/>
    </font>
    <font>
      <sz val="11"/>
      <name val="Arial Narrow"/>
      <family val="2"/>
    </font>
    <font>
      <b/>
      <sz val="11"/>
      <name val="Arial Narrow"/>
      <family val="2"/>
    </font>
    <font>
      <vertAlign val="superscript"/>
      <sz val="11"/>
      <name val="Arial Narrow"/>
      <family val="2"/>
    </font>
    <font>
      <b/>
      <vertAlign val="superscript"/>
      <sz val="11"/>
      <name val="Arial Narrow"/>
      <family val="2"/>
    </font>
    <font>
      <b/>
      <vertAlign val="superscript"/>
      <sz val="9"/>
      <name val="Arial Narrow"/>
      <family val="2"/>
    </font>
    <font>
      <vertAlign val="superscript"/>
      <sz val="9"/>
      <name val="Arial"/>
      <family val="2"/>
    </font>
    <font>
      <i/>
      <sz val="9"/>
      <name val="Arial"/>
      <family val="2"/>
    </font>
    <font>
      <u val="single"/>
      <sz val="10"/>
      <color indexed="12"/>
      <name val="Arial"/>
      <family val="0"/>
    </font>
    <font>
      <u val="single"/>
      <sz val="10"/>
      <color indexed="36"/>
      <name val="Arial"/>
      <family val="0"/>
    </font>
    <font>
      <b/>
      <sz val="11"/>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medium"/>
      <bottom>
        <color indexed="63"/>
      </bottom>
    </border>
  </borders>
  <cellStyleXfs count="5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4" fillId="0" borderId="1" applyNumberFormat="0" applyFill="0">
      <alignment horizontal="right"/>
      <protection/>
    </xf>
    <xf numFmtId="165" fontId="5" fillId="0" borderId="1">
      <alignment horizontal="right" vertical="center"/>
      <protection/>
    </xf>
    <xf numFmtId="49" fontId="6" fillId="0" borderId="1">
      <alignment horizontal="left" vertical="center"/>
      <protection/>
    </xf>
    <xf numFmtId="164" fontId="4" fillId="0" borderId="1" applyNumberFormat="0" applyFill="0">
      <alignment horizontal="right"/>
      <protection/>
    </xf>
    <xf numFmtId="164" fontId="4" fillId="0" borderId="1" applyNumberFormat="0">
      <alignment horizontal="right" vertical="center"/>
      <protection/>
    </xf>
    <xf numFmtId="0" fontId="25" fillId="0" borderId="0" applyNumberFormat="0" applyFill="0" applyBorder="0" applyAlignment="0" applyProtection="0"/>
    <xf numFmtId="0" fontId="8" fillId="0" borderId="1">
      <alignment horizontal="left"/>
      <protection/>
    </xf>
    <xf numFmtId="0" fontId="9" fillId="0" borderId="2">
      <alignment horizontal="right" vertical="center"/>
      <protection/>
    </xf>
    <xf numFmtId="0" fontId="10" fillId="0" borderId="1">
      <alignment horizontal="left" vertical="center"/>
      <protection/>
    </xf>
    <xf numFmtId="0" fontId="4" fillId="0" borderId="1">
      <alignment horizontal="left" vertical="center"/>
      <protection/>
    </xf>
    <xf numFmtId="0" fontId="8" fillId="0" borderId="1">
      <alignment horizontal="left"/>
      <protection/>
    </xf>
    <xf numFmtId="0" fontId="8" fillId="2" borderId="0">
      <alignment horizontal="centerContinuous" wrapText="1"/>
      <protection/>
    </xf>
    <xf numFmtId="0" fontId="24" fillId="0" borderId="0" applyNumberFormat="0" applyFill="0" applyBorder="0" applyAlignment="0" applyProtection="0"/>
    <xf numFmtId="9" fontId="0" fillId="0" borderId="0" applyFont="0" applyFill="0" applyBorder="0" applyAlignment="0" applyProtection="0"/>
    <xf numFmtId="0" fontId="7" fillId="0" borderId="0">
      <alignment horizontal="right"/>
      <protection/>
    </xf>
    <xf numFmtId="0" fontId="6" fillId="0" borderId="0">
      <alignment horizontal="right"/>
      <protection/>
    </xf>
    <xf numFmtId="0" fontId="7" fillId="0" borderId="0">
      <alignment horizontal="left"/>
      <protection/>
    </xf>
    <xf numFmtId="49" fontId="5" fillId="0" borderId="0">
      <alignment horizontal="left" vertical="center"/>
      <protection/>
    </xf>
    <xf numFmtId="49" fontId="6" fillId="0" borderId="1">
      <alignment horizontal="left"/>
      <protection/>
    </xf>
    <xf numFmtId="164" fontId="5" fillId="0" borderId="0" applyNumberFormat="0">
      <alignment horizontal="right"/>
      <protection/>
    </xf>
    <xf numFmtId="0" fontId="9" fillId="3" borderId="0">
      <alignment horizontal="centerContinuous" vertical="center" wrapText="1"/>
      <protection/>
    </xf>
    <xf numFmtId="0" fontId="9" fillId="0" borderId="3">
      <alignment horizontal="left" vertical="center"/>
      <protection/>
    </xf>
    <xf numFmtId="0" fontId="11" fillId="0" borderId="0">
      <alignment horizontal="left" vertical="top"/>
      <protection/>
    </xf>
    <xf numFmtId="0" fontId="8" fillId="0" borderId="0">
      <alignment horizontal="left"/>
      <protection/>
    </xf>
    <xf numFmtId="0" fontId="12" fillId="0" borderId="0">
      <alignment horizontal="left"/>
      <protection/>
    </xf>
    <xf numFmtId="0" fontId="4" fillId="0" borderId="0">
      <alignment horizontal="left"/>
      <protection/>
    </xf>
    <xf numFmtId="0" fontId="11" fillId="0" borderId="0">
      <alignment horizontal="left" vertical="top"/>
      <protection/>
    </xf>
    <xf numFmtId="0" fontId="12" fillId="0" borderId="0">
      <alignment horizontal="left"/>
      <protection/>
    </xf>
    <xf numFmtId="0" fontId="4" fillId="0" borderId="0">
      <alignment horizontal="left"/>
      <protection/>
    </xf>
    <xf numFmtId="49" fontId="5" fillId="0" borderId="1">
      <alignment horizontal="left"/>
      <protection/>
    </xf>
    <xf numFmtId="0" fontId="9" fillId="0" borderId="2">
      <alignment horizontal="left"/>
      <protection/>
    </xf>
    <xf numFmtId="0" fontId="8" fillId="0" borderId="0">
      <alignment horizontal="left" vertical="center"/>
      <protection/>
    </xf>
  </cellStyleXfs>
  <cellXfs count="75">
    <xf numFmtId="0" fontId="0" fillId="0" borderId="0" xfId="0" applyAlignment="1">
      <alignment/>
    </xf>
    <xf numFmtId="167" fontId="0" fillId="0" borderId="0" xfId="23" applyNumberFormat="1" applyFont="1" applyFill="1" applyBorder="1" applyAlignment="1">
      <alignment horizontal="center"/>
      <protection/>
    </xf>
    <xf numFmtId="3" fontId="0" fillId="0" borderId="0" xfId="0" applyNumberFormat="1" applyFont="1" applyFill="1" applyBorder="1" applyAlignment="1">
      <alignment horizontal="center"/>
    </xf>
    <xf numFmtId="0" fontId="18" fillId="0" borderId="0" xfId="47" applyFont="1" applyFill="1" applyBorder="1" applyAlignment="1">
      <alignment/>
      <protection/>
    </xf>
    <xf numFmtId="0" fontId="18" fillId="0" borderId="0" xfId="47" applyFont="1" applyFill="1" applyBorder="1" applyAlignment="1">
      <alignment horizontal="right"/>
      <protection/>
    </xf>
    <xf numFmtId="0" fontId="18" fillId="0" borderId="0" xfId="0" applyFont="1" applyFill="1" applyAlignment="1">
      <alignment horizontal="right"/>
    </xf>
    <xf numFmtId="3" fontId="17" fillId="0" borderId="0" xfId="47" applyNumberFormat="1" applyFont="1" applyFill="1" applyBorder="1" applyAlignment="1">
      <alignment horizontal="right"/>
      <protection/>
    </xf>
    <xf numFmtId="0" fontId="17" fillId="0" borderId="0" xfId="0" applyFont="1" applyFill="1" applyAlignment="1">
      <alignment horizontal="right"/>
    </xf>
    <xf numFmtId="3" fontId="18" fillId="0" borderId="0" xfId="47" applyNumberFormat="1" applyFont="1" applyFill="1" applyBorder="1" applyAlignment="1">
      <alignment horizontal="right"/>
      <protection/>
    </xf>
    <xf numFmtId="0" fontId="17" fillId="0" borderId="0" xfId="47" applyFont="1" applyFill="1" applyBorder="1" applyAlignment="1">
      <alignment horizontal="right"/>
      <protection/>
    </xf>
    <xf numFmtId="167" fontId="17" fillId="0" borderId="0" xfId="47" applyNumberFormat="1" applyFont="1" applyFill="1" applyBorder="1" applyAlignment="1">
      <alignment horizontal="right"/>
      <protection/>
    </xf>
    <xf numFmtId="0" fontId="19" fillId="0" borderId="0" xfId="47" applyFont="1" applyFill="1" applyBorder="1" applyAlignment="1">
      <alignment horizontal="right"/>
      <protection/>
    </xf>
    <xf numFmtId="49" fontId="17" fillId="0" borderId="0" xfId="47" applyNumberFormat="1" applyFont="1" applyFill="1" applyBorder="1" applyAlignment="1">
      <alignment horizontal="right"/>
      <protection/>
    </xf>
    <xf numFmtId="3" fontId="18" fillId="0" borderId="0" xfId="47" applyNumberFormat="1" applyFont="1" applyFill="1" applyBorder="1" applyAlignment="1">
      <alignment/>
      <protection/>
    </xf>
    <xf numFmtId="167" fontId="17" fillId="0" borderId="0" xfId="47" applyNumberFormat="1" applyFont="1" applyFill="1" applyBorder="1" applyAlignment="1">
      <alignment/>
      <protection/>
    </xf>
    <xf numFmtId="168" fontId="17" fillId="0" borderId="0" xfId="47" applyNumberFormat="1" applyFont="1" applyFill="1" applyBorder="1" applyAlignment="1">
      <alignment horizontal="right"/>
      <protection/>
    </xf>
    <xf numFmtId="3" fontId="18" fillId="0" borderId="4" xfId="47" applyNumberFormat="1" applyFont="1" applyFill="1" applyBorder="1" applyAlignment="1">
      <alignment horizontal="right"/>
      <protection/>
    </xf>
    <xf numFmtId="3" fontId="18" fillId="0" borderId="0" xfId="0" applyNumberFormat="1" applyFont="1" applyFill="1" applyAlignment="1">
      <alignment horizontal="right"/>
    </xf>
    <xf numFmtId="167" fontId="17" fillId="0" borderId="0" xfId="0" applyNumberFormat="1" applyFont="1" applyFill="1" applyAlignment="1">
      <alignment horizontal="right"/>
    </xf>
    <xf numFmtId="1" fontId="18" fillId="0" borderId="0" xfId="0" applyNumberFormat="1" applyFont="1" applyFill="1" applyAlignment="1">
      <alignment horizontal="right"/>
    </xf>
    <xf numFmtId="0" fontId="18" fillId="0" borderId="4" xfId="0" applyFont="1" applyFill="1" applyBorder="1" applyAlignment="1">
      <alignment horizontal="right"/>
    </xf>
    <xf numFmtId="0" fontId="17" fillId="0" borderId="0" xfId="0" applyFont="1" applyFill="1" applyBorder="1" applyAlignment="1">
      <alignment horizontal="right"/>
    </xf>
    <xf numFmtId="0" fontId="18" fillId="0" borderId="0" xfId="0" applyFont="1" applyFill="1" applyBorder="1" applyAlignment="1">
      <alignment horizontal="right"/>
    </xf>
    <xf numFmtId="3" fontId="21" fillId="0" borderId="0" xfId="47" applyNumberFormat="1" applyFont="1" applyFill="1" applyBorder="1" applyAlignment="1">
      <alignment horizontal="right"/>
      <protection/>
    </xf>
    <xf numFmtId="3" fontId="16" fillId="0" borderId="0" xfId="47" applyNumberFormat="1" applyFont="1" applyFill="1" applyBorder="1" applyAlignment="1">
      <alignment horizontal="right"/>
      <protection/>
    </xf>
    <xf numFmtId="0" fontId="14" fillId="0" borderId="0" xfId="25" applyFont="1" applyFill="1" applyBorder="1" applyAlignment="1">
      <alignment horizontal="left"/>
      <protection/>
    </xf>
    <xf numFmtId="0" fontId="14" fillId="0" borderId="0" xfId="0" applyFont="1" applyFill="1" applyAlignment="1">
      <alignment horizontal="left"/>
    </xf>
    <xf numFmtId="3" fontId="14" fillId="0" borderId="0" xfId="23" applyNumberFormat="1" applyFont="1" applyFill="1" applyBorder="1" applyAlignment="1">
      <alignment horizontal="left"/>
      <protection/>
    </xf>
    <xf numFmtId="3" fontId="14" fillId="0" borderId="0" xfId="0" applyNumberFormat="1" applyFont="1" applyFill="1" applyBorder="1" applyAlignment="1">
      <alignment horizontal="left"/>
    </xf>
    <xf numFmtId="167" fontId="14" fillId="0" borderId="0" xfId="23" applyNumberFormat="1" applyFont="1" applyFill="1" applyBorder="1" applyAlignment="1">
      <alignment horizontal="center"/>
      <protection/>
    </xf>
    <xf numFmtId="0" fontId="23" fillId="0" borderId="0" xfId="25" applyFont="1" applyFill="1" applyBorder="1" applyAlignment="1">
      <alignment horizontal="left"/>
      <protection/>
    </xf>
    <xf numFmtId="3" fontId="22" fillId="0" borderId="0" xfId="23" applyNumberFormat="1" applyFont="1" applyFill="1" applyBorder="1" applyAlignment="1">
      <alignment horizontal="left"/>
      <protection/>
    </xf>
    <xf numFmtId="49" fontId="14" fillId="0" borderId="0" xfId="0" applyNumberFormat="1" applyFont="1" applyFill="1" applyAlignment="1">
      <alignment horizontal="left"/>
    </xf>
    <xf numFmtId="0" fontId="14" fillId="0" borderId="0" xfId="0" applyFont="1" applyFill="1" applyAlignment="1">
      <alignment/>
    </xf>
    <xf numFmtId="49" fontId="18" fillId="0" borderId="0" xfId="47" applyNumberFormat="1" applyFont="1" applyFill="1" applyBorder="1" applyAlignment="1">
      <alignment horizontal="right"/>
      <protection/>
    </xf>
    <xf numFmtId="49" fontId="18" fillId="0" borderId="0" xfId="0" applyNumberFormat="1" applyFont="1" applyFill="1" applyAlignment="1">
      <alignment horizontal="right"/>
    </xf>
    <xf numFmtId="167" fontId="14" fillId="0" borderId="0" xfId="23" applyNumberFormat="1" applyFont="1" applyFill="1" applyBorder="1" applyAlignment="1">
      <alignment horizontal="center" wrapText="1"/>
      <protection/>
    </xf>
    <xf numFmtId="3" fontId="0" fillId="0" borderId="0" xfId="0" applyNumberFormat="1" applyFont="1" applyFill="1" applyBorder="1" applyAlignment="1">
      <alignment horizontal="center" wrapText="1"/>
    </xf>
    <xf numFmtId="167" fontId="0" fillId="0" borderId="0" xfId="23" applyNumberFormat="1" applyFont="1" applyFill="1" applyBorder="1" applyAlignment="1">
      <alignment horizontal="center" wrapText="1"/>
      <protection/>
    </xf>
    <xf numFmtId="0" fontId="0" fillId="0" borderId="0" xfId="0" applyFont="1" applyFill="1" applyAlignment="1">
      <alignment wrapText="1"/>
    </xf>
    <xf numFmtId="0" fontId="26" fillId="0" borderId="0" xfId="47" applyFont="1" applyFill="1" applyBorder="1" applyAlignment="1">
      <alignment/>
      <protection/>
    </xf>
    <xf numFmtId="0" fontId="18" fillId="0" borderId="0" xfId="47" applyFont="1" applyFill="1" applyBorder="1" applyAlignment="1">
      <alignment wrapText="1"/>
      <protection/>
    </xf>
    <xf numFmtId="0" fontId="15" fillId="0" borderId="0" xfId="25" applyFont="1" applyFill="1" applyBorder="1" applyAlignment="1">
      <alignment horizontal="left" wrapText="1"/>
      <protection/>
    </xf>
    <xf numFmtId="0" fontId="17" fillId="0" borderId="5" xfId="47" applyFont="1" applyFill="1" applyBorder="1" applyAlignment="1">
      <alignment horizontal="center"/>
      <protection/>
    </xf>
    <xf numFmtId="49" fontId="18" fillId="0" borderId="5" xfId="47" applyNumberFormat="1" applyFont="1" applyFill="1" applyBorder="1" applyAlignment="1">
      <alignment horizontal="center"/>
      <protection/>
    </xf>
    <xf numFmtId="49" fontId="18" fillId="0" borderId="6" xfId="47" applyNumberFormat="1" applyFont="1" applyFill="1" applyBorder="1" applyAlignment="1">
      <alignment horizontal="center"/>
      <protection/>
    </xf>
    <xf numFmtId="49" fontId="18" fillId="0" borderId="6" xfId="0" applyNumberFormat="1" applyFont="1" applyFill="1" applyBorder="1" applyAlignment="1">
      <alignment horizontal="center"/>
    </xf>
    <xf numFmtId="0" fontId="14" fillId="0" borderId="0" xfId="0" applyFont="1" applyFill="1" applyAlignment="1">
      <alignment horizontal="center"/>
    </xf>
    <xf numFmtId="3" fontId="18" fillId="0" borderId="0" xfId="0" applyNumberFormat="1" applyFont="1" applyFill="1" applyBorder="1" applyAlignment="1">
      <alignment horizontal="right"/>
    </xf>
    <xf numFmtId="0" fontId="0" fillId="0" borderId="0" xfId="0" applyFill="1" applyAlignment="1">
      <alignment horizontal="left" wrapText="1"/>
    </xf>
    <xf numFmtId="3" fontId="20" fillId="0" borderId="0" xfId="0" applyNumberFormat="1" applyFont="1" applyFill="1" applyBorder="1" applyAlignment="1">
      <alignment horizontal="right"/>
    </xf>
    <xf numFmtId="0" fontId="0" fillId="0" borderId="7" xfId="0" applyFill="1" applyBorder="1" applyAlignment="1">
      <alignment horizontal="left"/>
    </xf>
    <xf numFmtId="0" fontId="15" fillId="0" borderId="0" xfId="0" applyFont="1" applyFill="1" applyAlignment="1">
      <alignment horizontal="right"/>
    </xf>
    <xf numFmtId="173" fontId="18" fillId="0" borderId="0" xfId="0" applyNumberFormat="1" applyFont="1" applyFill="1" applyAlignment="1">
      <alignment horizontal="right"/>
    </xf>
    <xf numFmtId="174" fontId="17" fillId="0" borderId="0" xfId="47" applyNumberFormat="1" applyFont="1" applyFill="1" applyBorder="1" applyAlignment="1">
      <alignment horizontal="right"/>
      <protection/>
    </xf>
    <xf numFmtId="174" fontId="17" fillId="0" borderId="0" xfId="0" applyNumberFormat="1" applyFont="1" applyFill="1" applyAlignment="1">
      <alignment horizontal="right"/>
    </xf>
    <xf numFmtId="0" fontId="15" fillId="0" borderId="0" xfId="0" applyFont="1" applyFill="1" applyAlignment="1">
      <alignment/>
    </xf>
    <xf numFmtId="0" fontId="0" fillId="0" borderId="0" xfId="0" applyFont="1" applyFill="1" applyAlignment="1">
      <alignment/>
    </xf>
    <xf numFmtId="0" fontId="14" fillId="0" borderId="0" xfId="0" applyFont="1" applyFill="1" applyBorder="1" applyAlignment="1">
      <alignment/>
    </xf>
    <xf numFmtId="0" fontId="0" fillId="0" borderId="0" xfId="0" applyFill="1" applyAlignment="1">
      <alignment/>
    </xf>
    <xf numFmtId="0" fontId="17" fillId="0" borderId="0" xfId="47" applyFont="1" applyFill="1" applyBorder="1" applyAlignment="1">
      <alignment horizontal="left" indent="1"/>
      <protection/>
    </xf>
    <xf numFmtId="0" fontId="14" fillId="0" borderId="0" xfId="0" applyNumberFormat="1" applyFont="1" applyFill="1" applyAlignment="1">
      <alignment wrapText="1"/>
    </xf>
    <xf numFmtId="0" fontId="0" fillId="0" borderId="0" xfId="0" applyFill="1" applyAlignment="1">
      <alignment wrapText="1"/>
    </xf>
    <xf numFmtId="0" fontId="14" fillId="0" borderId="0" xfId="25" applyNumberFormat="1" applyFont="1" applyFill="1" applyBorder="1" applyAlignment="1">
      <alignment wrapText="1"/>
      <protection/>
    </xf>
    <xf numFmtId="0" fontId="15" fillId="0" borderId="0" xfId="25" applyNumberFormat="1" applyFont="1" applyFill="1" applyBorder="1" applyAlignment="1">
      <alignment wrapText="1"/>
      <protection/>
    </xf>
    <xf numFmtId="3" fontId="22" fillId="0" borderId="0" xfId="23" applyNumberFormat="1" applyFont="1" applyFill="1" applyBorder="1" applyAlignment="1">
      <alignment wrapText="1"/>
      <protection/>
    </xf>
    <xf numFmtId="0" fontId="14" fillId="0" borderId="0" xfId="25" applyFont="1" applyFill="1" applyBorder="1" applyAlignment="1">
      <alignment wrapText="1"/>
      <protection/>
    </xf>
    <xf numFmtId="0" fontId="15" fillId="0" borderId="0" xfId="25" applyFont="1" applyFill="1" applyBorder="1" applyAlignment="1">
      <alignment wrapText="1"/>
      <protection/>
    </xf>
    <xf numFmtId="0" fontId="15" fillId="0" borderId="0" xfId="0" applyNumberFormat="1" applyFont="1" applyFill="1" applyAlignment="1">
      <alignment wrapText="1"/>
    </xf>
    <xf numFmtId="0" fontId="13" fillId="0" borderId="4" xfId="46" applyFont="1" applyFill="1" applyBorder="1" applyAlignment="1">
      <alignment horizontal="left" wrapText="1"/>
      <protection/>
    </xf>
    <xf numFmtId="0" fontId="0" fillId="0" borderId="4" xfId="0" applyFill="1" applyBorder="1" applyAlignment="1">
      <alignment wrapText="1"/>
    </xf>
    <xf numFmtId="0" fontId="0" fillId="0" borderId="4" xfId="0" applyBorder="1" applyAlignment="1">
      <alignment wrapText="1"/>
    </xf>
    <xf numFmtId="0" fontId="15" fillId="0" borderId="7" xfId="25" applyFont="1" applyFill="1" applyBorder="1" applyAlignment="1">
      <alignment horizontal="left" wrapText="1"/>
      <protection/>
    </xf>
    <xf numFmtId="0" fontId="0" fillId="0" borderId="7" xfId="0" applyFill="1" applyBorder="1" applyAlignment="1">
      <alignment horizontal="left" wrapText="1"/>
    </xf>
    <xf numFmtId="0" fontId="22" fillId="0" borderId="0" xfId="23" applyNumberFormat="1" applyFont="1" applyFill="1" applyBorder="1" applyAlignment="1">
      <alignment wrapText="1"/>
      <protection/>
    </xf>
  </cellXfs>
  <cellStyles count="37">
    <cellStyle name="Normal" xfId="0"/>
    <cellStyle name="Comma" xfId="15"/>
    <cellStyle name="Comma [0]" xfId="16"/>
    <cellStyle name="Currency" xfId="17"/>
    <cellStyle name="Currency [0]" xfId="18"/>
    <cellStyle name="Data" xfId="19"/>
    <cellStyle name="Data no deci" xfId="20"/>
    <cellStyle name="Data Superscript" xfId="21"/>
    <cellStyle name="Data_1-1A-Regular" xfId="22"/>
    <cellStyle name="Data_Sheet2_1" xfId="23"/>
    <cellStyle name="Followed Hyperlink" xfId="24"/>
    <cellStyle name="Hed Side" xfId="25"/>
    <cellStyle name="Hed Side bold" xfId="26"/>
    <cellStyle name="Hed Side Indent" xfId="27"/>
    <cellStyle name="Hed Side Regular" xfId="28"/>
    <cellStyle name="Hed Side_1-1A-Regular" xfId="29"/>
    <cellStyle name="Hed Top" xfId="30"/>
    <cellStyle name="Hyperlink" xfId="31"/>
    <cellStyle name="Percent" xfId="32"/>
    <cellStyle name="Source Hed" xfId="33"/>
    <cellStyle name="Source Superscript" xfId="34"/>
    <cellStyle name="Source Text" xfId="35"/>
    <cellStyle name="State" xfId="36"/>
    <cellStyle name="Superscript" xfId="37"/>
    <cellStyle name="Table Data" xfId="38"/>
    <cellStyle name="Table Head Top" xfId="39"/>
    <cellStyle name="Table Hed Side" xfId="40"/>
    <cellStyle name="Table Title" xfId="41"/>
    <cellStyle name="Title Text" xfId="42"/>
    <cellStyle name="Title Text 1" xfId="43"/>
    <cellStyle name="Title Text 2" xfId="44"/>
    <cellStyle name="Title-1" xfId="45"/>
    <cellStyle name="Title-2" xfId="46"/>
    <cellStyle name="Title-3" xfId="47"/>
    <cellStyle name="Wrap" xfId="48"/>
    <cellStyle name="Wrap Bold" xfId="49"/>
    <cellStyle name="Wrap Title" xfId="5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O93"/>
  <sheetViews>
    <sheetView tabSelected="1" workbookViewId="0" topLeftCell="A1">
      <selection activeCell="A1" sqref="A1:O1"/>
    </sheetView>
  </sheetViews>
  <sheetFormatPr defaultColWidth="9.140625" defaultRowHeight="12.75"/>
  <cols>
    <col min="1" max="1" width="34.140625" style="57" customWidth="1"/>
    <col min="2" max="15" width="10.7109375" style="57" customWidth="1"/>
    <col min="16" max="16384" width="9.140625" style="57" customWidth="1"/>
  </cols>
  <sheetData>
    <row r="1" spans="1:15" ht="14.25" thickBot="1">
      <c r="A1" s="69" t="s">
        <v>33</v>
      </c>
      <c r="B1" s="70"/>
      <c r="C1" s="70"/>
      <c r="D1" s="70"/>
      <c r="E1" s="70"/>
      <c r="F1" s="70"/>
      <c r="G1" s="70"/>
      <c r="H1" s="70"/>
      <c r="I1" s="70"/>
      <c r="J1" s="70"/>
      <c r="K1" s="70"/>
      <c r="L1" s="70"/>
      <c r="M1" s="71"/>
      <c r="N1" s="71"/>
      <c r="O1" s="71"/>
    </row>
    <row r="2" spans="1:15" s="47" customFormat="1" ht="16.5">
      <c r="A2" s="43"/>
      <c r="B2" s="44" t="s">
        <v>19</v>
      </c>
      <c r="C2" s="44" t="s">
        <v>20</v>
      </c>
      <c r="D2" s="44" t="s">
        <v>21</v>
      </c>
      <c r="E2" s="44" t="s">
        <v>22</v>
      </c>
      <c r="F2" s="44" t="s">
        <v>23</v>
      </c>
      <c r="G2" s="44" t="s">
        <v>24</v>
      </c>
      <c r="H2" s="45" t="s">
        <v>25</v>
      </c>
      <c r="I2" s="45" t="s">
        <v>26</v>
      </c>
      <c r="J2" s="46" t="s">
        <v>27</v>
      </c>
      <c r="K2" s="46" t="s">
        <v>28</v>
      </c>
      <c r="L2" s="46" t="s">
        <v>29</v>
      </c>
      <c r="M2" s="46" t="s">
        <v>32</v>
      </c>
      <c r="N2" s="46" t="s">
        <v>35</v>
      </c>
      <c r="O2" s="46" t="s">
        <v>40</v>
      </c>
    </row>
    <row r="3" spans="1:15" s="56" customFormat="1" ht="16.5">
      <c r="A3" s="40" t="s">
        <v>30</v>
      </c>
      <c r="B3" s="34"/>
      <c r="C3" s="34"/>
      <c r="D3" s="34"/>
      <c r="E3" s="34"/>
      <c r="F3" s="34"/>
      <c r="G3" s="34"/>
      <c r="H3" s="34"/>
      <c r="I3" s="34"/>
      <c r="J3" s="35"/>
      <c r="K3" s="35"/>
      <c r="L3" s="35"/>
      <c r="M3" s="52"/>
      <c r="N3" s="52"/>
      <c r="O3" s="52"/>
    </row>
    <row r="4" spans="1:15" s="56" customFormat="1" ht="16.5">
      <c r="A4" s="3" t="s">
        <v>7</v>
      </c>
      <c r="B4" s="8">
        <v>33547</v>
      </c>
      <c r="C4" s="8">
        <v>33677</v>
      </c>
      <c r="D4" s="8">
        <v>33027</v>
      </c>
      <c r="E4" s="8">
        <v>29089</v>
      </c>
      <c r="F4" s="8">
        <v>31502</v>
      </c>
      <c r="G4" s="8">
        <v>31254</v>
      </c>
      <c r="H4" s="8">
        <v>31312</v>
      </c>
      <c r="I4" s="8">
        <v>31431</v>
      </c>
      <c r="J4" s="17">
        <v>30498</v>
      </c>
      <c r="K4" s="17">
        <v>32820</v>
      </c>
      <c r="L4" s="17">
        <v>32888</v>
      </c>
      <c r="M4" s="17">
        <v>32951</v>
      </c>
      <c r="N4" s="17">
        <v>32907</v>
      </c>
      <c r="O4" s="17">
        <v>31956</v>
      </c>
    </row>
    <row r="5" spans="1:15" s="33" customFormat="1" ht="16.5">
      <c r="A5" s="60" t="s">
        <v>8</v>
      </c>
      <c r="B5" s="9">
        <v>8.7</v>
      </c>
      <c r="C5" s="10">
        <v>7.6</v>
      </c>
      <c r="D5" s="10">
        <v>5.247221969903412</v>
      </c>
      <c r="E5" s="10">
        <v>7</v>
      </c>
      <c r="F5" s="10">
        <v>6.5</v>
      </c>
      <c r="G5" s="10">
        <v>6.3</v>
      </c>
      <c r="H5" s="10">
        <f>(188+235+784)/$H$4*100</f>
        <v>3.854752171691364</v>
      </c>
      <c r="I5" s="10">
        <f>(716+222+205)/I4*100</f>
        <v>3.636537176672712</v>
      </c>
      <c r="J5" s="10">
        <f>(718+304+216)/J4*100</f>
        <v>4.059282575906617</v>
      </c>
      <c r="K5" s="10">
        <f>783/$K$4*100</f>
        <v>2.3857404021937842</v>
      </c>
      <c r="L5" s="18">
        <f>704/L4*100</f>
        <v>2.140598394551204</v>
      </c>
      <c r="M5" s="18">
        <v>1.9</v>
      </c>
      <c r="N5" s="18">
        <f>(372+182+144)/N4*100</f>
        <v>2.1211292430182027</v>
      </c>
      <c r="O5" s="18">
        <f>(293+130+102)/$O$4*100</f>
        <v>1.6428839654524974</v>
      </c>
    </row>
    <row r="6" spans="1:15" s="33" customFormat="1" ht="18">
      <c r="A6" s="60" t="s">
        <v>9</v>
      </c>
      <c r="B6" s="11" t="s">
        <v>3</v>
      </c>
      <c r="C6" s="11" t="s">
        <v>3</v>
      </c>
      <c r="D6" s="10">
        <v>14.1</v>
      </c>
      <c r="E6" s="10">
        <v>27.7</v>
      </c>
      <c r="F6" s="10">
        <v>26.5</v>
      </c>
      <c r="G6" s="10">
        <v>20.7</v>
      </c>
      <c r="H6" s="10">
        <f>(1881+4106)/$H$4*100</f>
        <v>19.12046499744507</v>
      </c>
      <c r="I6" s="10">
        <f>(4095+1894)/I4*100</f>
        <v>19.054436702618435</v>
      </c>
      <c r="J6" s="10">
        <f>(3246+1801)/J4*100</f>
        <v>16.548626139418978</v>
      </c>
      <c r="K6" s="10">
        <f>4581/$K$4*100</f>
        <v>13.957952468007312</v>
      </c>
      <c r="L6" s="18">
        <f>4023/L4*100</f>
        <v>12.2324252006811</v>
      </c>
      <c r="M6" s="18">
        <v>11.7</v>
      </c>
      <c r="N6" s="10">
        <f>(2233+1133)/N4*100</f>
        <v>10.228826693408697</v>
      </c>
      <c r="O6" s="10">
        <f>(2152+981)/$O$4*100</f>
        <v>9.804105645262236</v>
      </c>
    </row>
    <row r="7" spans="1:15" s="33" customFormat="1" ht="16.5">
      <c r="A7" s="60" t="s">
        <v>10</v>
      </c>
      <c r="B7" s="9">
        <v>31.9</v>
      </c>
      <c r="C7" s="10">
        <v>31.7</v>
      </c>
      <c r="D7" s="10">
        <v>17.4</v>
      </c>
      <c r="E7" s="10">
        <v>20.9</v>
      </c>
      <c r="F7" s="10">
        <v>23.9</v>
      </c>
      <c r="G7" s="10">
        <v>22.3</v>
      </c>
      <c r="H7" s="10">
        <f>(6785)/$H$4*100</f>
        <v>21.669008686765455</v>
      </c>
      <c r="I7" s="10">
        <f>6505/I4*100</f>
        <v>20.69612802647068</v>
      </c>
      <c r="J7" s="10">
        <f>5420/J4*100</f>
        <v>17.771657157846416</v>
      </c>
      <c r="K7" s="10">
        <f>5946/$K$4*100</f>
        <v>18.117001828153565</v>
      </c>
      <c r="L7" s="18">
        <f>5568/L4*100</f>
        <v>16.930187302359524</v>
      </c>
      <c r="M7" s="18">
        <v>15.4</v>
      </c>
      <c r="N7" s="10">
        <f>5096/N4*100</f>
        <v>15.486066794299086</v>
      </c>
      <c r="O7" s="10">
        <f>(4925)/$O$4*100</f>
        <v>15.411816247340093</v>
      </c>
    </row>
    <row r="8" spans="1:15" s="33" customFormat="1" ht="18">
      <c r="A8" s="60" t="s">
        <v>11</v>
      </c>
      <c r="B8" s="11" t="s">
        <v>3</v>
      </c>
      <c r="C8" s="11" t="s">
        <v>3</v>
      </c>
      <c r="D8" s="10">
        <v>27.6</v>
      </c>
      <c r="E8" s="10">
        <v>36.1</v>
      </c>
      <c r="F8" s="10">
        <v>33.2</v>
      </c>
      <c r="G8" s="10">
        <v>36.9</v>
      </c>
      <c r="H8" s="10">
        <f>(12141)/$H$4*100</f>
        <v>38.7742718446602</v>
      </c>
      <c r="I8" s="10">
        <f>12875/I4*100</f>
        <v>40.962743787980024</v>
      </c>
      <c r="J8" s="10">
        <f>12992/J4*100</f>
        <v>42.59951472227687</v>
      </c>
      <c r="K8" s="10">
        <f>14438/$K$4*100</f>
        <v>43.99146861669714</v>
      </c>
      <c r="L8" s="18">
        <f>14726/L4*100</f>
        <v>44.77621016784237</v>
      </c>
      <c r="M8" s="18">
        <v>43.3</v>
      </c>
      <c r="N8" s="10">
        <f>14463/N4*100</f>
        <v>43.95113501686571</v>
      </c>
      <c r="O8" s="10">
        <f>(14022)/$O$4*100</f>
        <v>43.8790837401427</v>
      </c>
    </row>
    <row r="9" spans="1:15" s="33" customFormat="1" ht="16.5">
      <c r="A9" s="60" t="s">
        <v>12</v>
      </c>
      <c r="B9" s="9">
        <v>59.5</v>
      </c>
      <c r="C9" s="10">
        <v>60.7</v>
      </c>
      <c r="D9" s="10">
        <v>35.6</v>
      </c>
      <c r="E9" s="10">
        <v>8.3</v>
      </c>
      <c r="F9" s="10">
        <v>9.9</v>
      </c>
      <c r="G9" s="10">
        <v>13.9</v>
      </c>
      <c r="H9" s="10">
        <f>(5192)/$H$4*100</f>
        <v>16.581502299437915</v>
      </c>
      <c r="I9" s="10">
        <f>4919/I4*100</f>
        <v>15.650154306258152</v>
      </c>
      <c r="J9" s="10">
        <f>5801/J4*100</f>
        <v>19.02091940455112</v>
      </c>
      <c r="K9" s="10">
        <f>7072/$K$4*100</f>
        <v>21.5478366849482</v>
      </c>
      <c r="L9" s="18">
        <f>7867/L4*100</f>
        <v>23.9205789345658</v>
      </c>
      <c r="M9" s="18">
        <v>27.7</v>
      </c>
      <c r="N9" s="10">
        <f>9284/N4*100</f>
        <v>28.212842252408304</v>
      </c>
      <c r="O9" s="10">
        <f>(9351)/$O$4*100</f>
        <v>29.262110401802477</v>
      </c>
    </row>
    <row r="10" spans="1:15" s="33" customFormat="1" ht="16.5">
      <c r="A10" s="60" t="s">
        <v>13</v>
      </c>
      <c r="B10" s="9" t="s">
        <v>0</v>
      </c>
      <c r="C10" s="6" t="s">
        <v>0</v>
      </c>
      <c r="D10" s="6" t="s">
        <v>0</v>
      </c>
      <c r="E10" s="6" t="s">
        <v>0</v>
      </c>
      <c r="F10" s="6" t="s">
        <v>0</v>
      </c>
      <c r="G10" s="6" t="s">
        <v>0</v>
      </c>
      <c r="H10" s="6" t="s">
        <v>0</v>
      </c>
      <c r="I10" s="6" t="s">
        <v>0</v>
      </c>
      <c r="J10" s="6" t="s">
        <v>0</v>
      </c>
      <c r="K10" s="6" t="s">
        <v>0</v>
      </c>
      <c r="L10" s="18" t="s">
        <v>0</v>
      </c>
      <c r="M10" s="18" t="s">
        <v>0</v>
      </c>
      <c r="N10" s="18" t="s">
        <v>0</v>
      </c>
      <c r="O10" s="18" t="s">
        <v>0</v>
      </c>
    </row>
    <row r="11" spans="1:15" s="56" customFormat="1" ht="18">
      <c r="A11" s="3" t="s">
        <v>36</v>
      </c>
      <c r="B11" s="4" t="s">
        <v>0</v>
      </c>
      <c r="C11" s="8" t="s">
        <v>0</v>
      </c>
      <c r="D11" s="8" t="s">
        <v>0</v>
      </c>
      <c r="E11" s="8">
        <v>3563</v>
      </c>
      <c r="F11" s="8">
        <v>955</v>
      </c>
      <c r="G11" s="8">
        <v>1326</v>
      </c>
      <c r="H11" s="8">
        <v>1508</v>
      </c>
      <c r="I11" s="8">
        <v>1382</v>
      </c>
      <c r="J11" s="17">
        <v>2313</v>
      </c>
      <c r="K11" s="17">
        <v>153</v>
      </c>
      <c r="L11" s="19">
        <v>162</v>
      </c>
      <c r="M11" s="19">
        <v>109</v>
      </c>
      <c r="N11" s="19">
        <v>84</v>
      </c>
      <c r="O11" s="19">
        <v>87</v>
      </c>
    </row>
    <row r="12" spans="1:15" s="56" customFormat="1" ht="18" customHeight="1">
      <c r="A12" s="41" t="s">
        <v>14</v>
      </c>
      <c r="B12" s="8">
        <v>83802</v>
      </c>
      <c r="C12" s="8">
        <v>85729</v>
      </c>
      <c r="D12" s="8">
        <v>94798</v>
      </c>
      <c r="E12" s="8">
        <v>78296</v>
      </c>
      <c r="F12" s="8">
        <v>89506</v>
      </c>
      <c r="G12" s="8">
        <v>89265</v>
      </c>
      <c r="H12" s="8">
        <v>92103</v>
      </c>
      <c r="I12" s="8">
        <v>92170</v>
      </c>
      <c r="J12" s="17">
        <v>93333</v>
      </c>
      <c r="K12" s="17">
        <v>97247</v>
      </c>
      <c r="L12" s="53">
        <v>97297</v>
      </c>
      <c r="M12" s="17">
        <v>97947</v>
      </c>
      <c r="N12" s="17">
        <v>97854</v>
      </c>
      <c r="O12" s="17">
        <v>96656</v>
      </c>
    </row>
    <row r="13" spans="1:15" s="33" customFormat="1" ht="16.5">
      <c r="A13" s="60" t="s">
        <v>8</v>
      </c>
      <c r="B13" s="9">
        <v>3.4</v>
      </c>
      <c r="C13" s="10">
        <v>3.6</v>
      </c>
      <c r="D13" s="10">
        <v>3.268001434629422</v>
      </c>
      <c r="E13" s="10">
        <v>2.9</v>
      </c>
      <c r="F13" s="10">
        <v>2.4</v>
      </c>
      <c r="G13" s="10">
        <v>4.4</v>
      </c>
      <c r="H13" s="10">
        <f>1324/$H$12*100</f>
        <v>1.4375210362311759</v>
      </c>
      <c r="I13" s="10">
        <f>1475/I12*100</f>
        <v>1.6003037864815015</v>
      </c>
      <c r="J13" s="10">
        <f>1324/J12*100</f>
        <v>1.4185764949160533</v>
      </c>
      <c r="K13" s="10">
        <f>827/$K$12*100</f>
        <v>0.850411837897313</v>
      </c>
      <c r="L13" s="18">
        <f>773/$L$12*100</f>
        <v>0.7944746497836521</v>
      </c>
      <c r="M13" s="7">
        <v>0.7</v>
      </c>
      <c r="N13" s="10">
        <f>637/N12*100</f>
        <v>0.65096981216915</v>
      </c>
      <c r="O13" s="10">
        <f>(680)/$O$12*100</f>
        <v>0.7035259063069028</v>
      </c>
    </row>
    <row r="14" spans="1:15" s="33" customFormat="1" ht="18">
      <c r="A14" s="60" t="s">
        <v>9</v>
      </c>
      <c r="B14" s="11" t="s">
        <v>3</v>
      </c>
      <c r="C14" s="11" t="s">
        <v>3</v>
      </c>
      <c r="D14" s="10">
        <v>5.9</v>
      </c>
      <c r="E14" s="10">
        <v>9.2</v>
      </c>
      <c r="F14" s="10">
        <v>8.2</v>
      </c>
      <c r="G14" s="10">
        <v>7.6</v>
      </c>
      <c r="H14" s="10">
        <f>(3602+1762)/$H$12*100</f>
        <v>5.82391453047132</v>
      </c>
      <c r="I14" s="10">
        <f>(3010+1472)/I12*100</f>
        <v>4.862753607464468</v>
      </c>
      <c r="J14" s="10">
        <f>(2855+1473)/J12*100</f>
        <v>4.637159418426495</v>
      </c>
      <c r="K14" s="10">
        <f>3594/$K$12*100</f>
        <v>3.695743827573087</v>
      </c>
      <c r="L14" s="18">
        <f>3092/$L$12*100</f>
        <v>3.1778985991346085</v>
      </c>
      <c r="M14" s="18">
        <v>3</v>
      </c>
      <c r="N14" s="10">
        <f>(1839+850)/N12*100</f>
        <v>2.7479714676967726</v>
      </c>
      <c r="O14" s="10">
        <f>(1869+827)/$O$12*100</f>
        <v>2.789273299122662</v>
      </c>
    </row>
    <row r="15" spans="1:15" s="33" customFormat="1" ht="16.5">
      <c r="A15" s="60" t="s">
        <v>10</v>
      </c>
      <c r="B15" s="9">
        <v>42.6</v>
      </c>
      <c r="C15" s="10">
        <v>44.5</v>
      </c>
      <c r="D15" s="10">
        <v>34.6</v>
      </c>
      <c r="E15" s="10">
        <v>54.8</v>
      </c>
      <c r="F15" s="10">
        <v>57.4</v>
      </c>
      <c r="G15" s="10">
        <v>51.0916932728393</v>
      </c>
      <c r="H15" s="10">
        <f>(8623+15751+20809)/$H$12*100</f>
        <v>49.05703397283476</v>
      </c>
      <c r="I15" s="10">
        <f>(22152+14380+7446)/I12*100</f>
        <v>47.71400672670067</v>
      </c>
      <c r="J15" s="10">
        <f>(20911+12860+6683)/J12*100</f>
        <v>43.34372622759367</v>
      </c>
      <c r="K15" s="10">
        <f>40382/$K$12*100</f>
        <v>41.52518843768959</v>
      </c>
      <c r="L15" s="18">
        <f>37650/$L$12*100</f>
        <v>38.69595157096313</v>
      </c>
      <c r="M15" s="7">
        <v>37.3</v>
      </c>
      <c r="N15" s="10">
        <f>(20090+10108+4682)/N12*100</f>
        <v>35.64494042144419</v>
      </c>
      <c r="O15" s="10">
        <f>(20112+9591+4658)/$O$12*100</f>
        <v>35.549784803840424</v>
      </c>
    </row>
    <row r="16" spans="1:15" s="33" customFormat="1" ht="18">
      <c r="A16" s="60" t="s">
        <v>11</v>
      </c>
      <c r="B16" s="11" t="s">
        <v>3</v>
      </c>
      <c r="C16" s="11" t="s">
        <v>3</v>
      </c>
      <c r="D16" s="10">
        <v>28.46368066836853</v>
      </c>
      <c r="E16" s="10">
        <v>26.7</v>
      </c>
      <c r="F16" s="10">
        <v>26.6</v>
      </c>
      <c r="G16" s="10">
        <v>27.876547358987285</v>
      </c>
      <c r="H16" s="10">
        <f>31652/$H$12*100</f>
        <v>34.36587299002204</v>
      </c>
      <c r="I16" s="10">
        <v>37.2</v>
      </c>
      <c r="J16" s="10">
        <f>35717/J12*100</f>
        <v>38.26835095839628</v>
      </c>
      <c r="K16" s="10">
        <f>39362/$K$12*100</f>
        <v>40.47631289397102</v>
      </c>
      <c r="L16" s="18">
        <f>41752/$L$12*100</f>
        <v>42.91190889749941</v>
      </c>
      <c r="M16" s="7">
        <v>42.5</v>
      </c>
      <c r="N16" s="10">
        <f>43282/N12*100</f>
        <v>44.23120158603634</v>
      </c>
      <c r="O16" s="10">
        <f>(43095)/$O$12*100</f>
        <v>44.585954312199966</v>
      </c>
    </row>
    <row r="17" spans="1:15" s="33" customFormat="1" ht="16.5">
      <c r="A17" s="60" t="s">
        <v>12</v>
      </c>
      <c r="B17" s="10">
        <v>53.8</v>
      </c>
      <c r="C17" s="10">
        <v>51.9</v>
      </c>
      <c r="D17" s="10">
        <v>27.6</v>
      </c>
      <c r="E17" s="10">
        <v>6.4</v>
      </c>
      <c r="F17" s="10">
        <v>5.4</v>
      </c>
      <c r="G17" s="10">
        <v>9.033775835993952</v>
      </c>
      <c r="H17" s="10">
        <f>8580/$H$12*100</f>
        <v>9.315657470440703</v>
      </c>
      <c r="I17" s="10">
        <f>7906/I12*100</f>
        <v>8.577628295540848</v>
      </c>
      <c r="J17" s="10">
        <f>11510/J12*100</f>
        <v>12.332186900667502</v>
      </c>
      <c r="K17" s="10">
        <f>13082/$K$12*100</f>
        <v>13.452343002868982</v>
      </c>
      <c r="L17" s="18">
        <f>14030/$L$12*100</f>
        <v>14.419766282619198</v>
      </c>
      <c r="M17" s="7">
        <v>16.5</v>
      </c>
      <c r="N17" s="10">
        <f>16366/N12*100</f>
        <v>16.724916712653545</v>
      </c>
      <c r="O17" s="10">
        <f>(15824)/$O$12*100</f>
        <v>16.371461678530043</v>
      </c>
    </row>
    <row r="18" spans="1:15" s="33" customFormat="1" ht="16.5">
      <c r="A18" s="60" t="s">
        <v>13</v>
      </c>
      <c r="B18" s="9" t="s">
        <v>0</v>
      </c>
      <c r="C18" s="6" t="s">
        <v>0</v>
      </c>
      <c r="D18" s="6" t="s">
        <v>0</v>
      </c>
      <c r="E18" s="6" t="s">
        <v>0</v>
      </c>
      <c r="F18" s="6" t="s">
        <v>0</v>
      </c>
      <c r="G18" s="6" t="s">
        <v>0</v>
      </c>
      <c r="H18" s="6" t="s">
        <v>0</v>
      </c>
      <c r="I18" s="6" t="s">
        <v>0</v>
      </c>
      <c r="J18" s="6" t="s">
        <v>0</v>
      </c>
      <c r="K18" s="6" t="s">
        <v>0</v>
      </c>
      <c r="L18" s="7" t="s">
        <v>0</v>
      </c>
      <c r="M18" s="7" t="s">
        <v>0</v>
      </c>
      <c r="N18" s="7" t="s">
        <v>0</v>
      </c>
      <c r="O18" s="10" t="s">
        <v>0</v>
      </c>
    </row>
    <row r="19" spans="1:15" s="56" customFormat="1" ht="18">
      <c r="A19" s="3" t="s">
        <v>36</v>
      </c>
      <c r="B19" s="4" t="s">
        <v>0</v>
      </c>
      <c r="C19" s="8" t="s">
        <v>0</v>
      </c>
      <c r="D19" s="8" t="s">
        <v>0</v>
      </c>
      <c r="E19" s="8">
        <v>17905</v>
      </c>
      <c r="F19" s="8">
        <v>7489</v>
      </c>
      <c r="G19" s="8">
        <v>8683</v>
      </c>
      <c r="H19" s="8">
        <v>6028</v>
      </c>
      <c r="I19" s="8">
        <v>6083</v>
      </c>
      <c r="J19" s="17">
        <v>5524</v>
      </c>
      <c r="K19" s="17">
        <v>1587</v>
      </c>
      <c r="L19" s="53">
        <v>1619</v>
      </c>
      <c r="M19" s="17">
        <v>1247</v>
      </c>
      <c r="N19" s="17">
        <v>1009</v>
      </c>
      <c r="O19" s="17">
        <v>386</v>
      </c>
    </row>
    <row r="20" spans="1:15" s="56" customFormat="1" ht="18.75" customHeight="1">
      <c r="A20" s="41" t="s">
        <v>15</v>
      </c>
      <c r="B20" s="8">
        <v>144735</v>
      </c>
      <c r="C20" s="8">
        <v>142866</v>
      </c>
      <c r="D20" s="8">
        <v>137637</v>
      </c>
      <c r="E20" s="8">
        <v>134837</v>
      </c>
      <c r="F20" s="8">
        <v>124877</v>
      </c>
      <c r="G20" s="8">
        <v>121443</v>
      </c>
      <c r="H20" s="8">
        <v>126381</v>
      </c>
      <c r="I20" s="8">
        <v>126525</v>
      </c>
      <c r="J20" s="17">
        <v>130591</v>
      </c>
      <c r="K20" s="17">
        <v>135192</v>
      </c>
      <c r="L20" s="53">
        <v>136096</v>
      </c>
      <c r="M20" s="17">
        <v>134698</v>
      </c>
      <c r="N20" s="17">
        <v>136955</v>
      </c>
      <c r="O20" s="17">
        <v>134984</v>
      </c>
    </row>
    <row r="21" spans="1:15" s="33" customFormat="1" ht="16.5">
      <c r="A21" s="60" t="s">
        <v>8</v>
      </c>
      <c r="B21" s="9">
        <v>4.6</v>
      </c>
      <c r="C21" s="10">
        <v>4.3</v>
      </c>
      <c r="D21" s="10">
        <v>3.9290618347730693</v>
      </c>
      <c r="E21" s="10">
        <v>3.9</v>
      </c>
      <c r="F21" s="10">
        <v>3.5</v>
      </c>
      <c r="G21" s="10">
        <v>3.7</v>
      </c>
      <c r="H21" s="10">
        <f>2951/$H$20*100</f>
        <v>2.335002888092356</v>
      </c>
      <c r="I21" s="10">
        <f>2879/I20*100</f>
        <v>2.2754396364354874</v>
      </c>
      <c r="J21" s="10">
        <f>2540/J20*100</f>
        <v>1.9450038670352474</v>
      </c>
      <c r="K21" s="10">
        <f>2252/$K$20*100</f>
        <v>1.6657790401798922</v>
      </c>
      <c r="L21" s="18">
        <f>2275/$L$20*100</f>
        <v>1.6716141547143193</v>
      </c>
      <c r="M21" s="7">
        <v>1.7</v>
      </c>
      <c r="N21" s="10">
        <f>1720/N20*100</f>
        <v>1.2558869701726845</v>
      </c>
      <c r="O21" s="10">
        <f>(1791)/$O$20*100</f>
        <v>1.326823919871985</v>
      </c>
    </row>
    <row r="22" spans="1:15" s="33" customFormat="1" ht="18">
      <c r="A22" s="60" t="s">
        <v>9</v>
      </c>
      <c r="B22" s="11" t="s">
        <v>3</v>
      </c>
      <c r="C22" s="11" t="s">
        <v>3</v>
      </c>
      <c r="D22" s="10">
        <v>7.076379857745875</v>
      </c>
      <c r="E22" s="10">
        <v>9.1</v>
      </c>
      <c r="F22" s="10">
        <v>10.5</v>
      </c>
      <c r="G22" s="10">
        <v>9</v>
      </c>
      <c r="H22" s="10">
        <f>(3811+6562)/$H$20*100</f>
        <v>8.207721097316844</v>
      </c>
      <c r="I22" s="10">
        <f>(5316+3179)/I20*100</f>
        <v>6.714088124876507</v>
      </c>
      <c r="J22" s="10">
        <f>(4985+2836)/J20*100</f>
        <v>5.98892726144987</v>
      </c>
      <c r="K22" s="10">
        <f>6979/$K$20*100</f>
        <v>5.162287709331913</v>
      </c>
      <c r="L22" s="18">
        <f>7227/$L$20*100</f>
        <v>5.3102221960968725</v>
      </c>
      <c r="M22" s="7">
        <v>5.2</v>
      </c>
      <c r="N22" s="10">
        <f>(4144+2054)/N20*100</f>
        <v>4.525574093680406</v>
      </c>
      <c r="O22" s="10">
        <f>(3988+2435)/$O$20*100</f>
        <v>4.75834172939015</v>
      </c>
    </row>
    <row r="23" spans="1:15" s="33" customFormat="1" ht="16.5">
      <c r="A23" s="60" t="s">
        <v>10</v>
      </c>
      <c r="B23" s="9">
        <v>48.2</v>
      </c>
      <c r="C23" s="10">
        <v>47.3</v>
      </c>
      <c r="D23" s="10">
        <v>36.4</v>
      </c>
      <c r="E23" s="10">
        <v>53.5</v>
      </c>
      <c r="F23" s="10">
        <v>57.9</v>
      </c>
      <c r="G23" s="10">
        <v>54.67420929983614</v>
      </c>
      <c r="H23" s="10">
        <f>(28802+20928+14394)/$H$20*100</f>
        <v>50.73863951068594</v>
      </c>
      <c r="I23" s="10">
        <f>(31409+19845+12469)/I20*100</f>
        <v>50.36395969176052</v>
      </c>
      <c r="J23" s="10">
        <f>(28718+20895+12071)/J20*100</f>
        <v>47.23449548590638</v>
      </c>
      <c r="K23" s="10">
        <f>63951/$K$20*100</f>
        <v>47.30383454642286</v>
      </c>
      <c r="L23" s="18">
        <f>62938/$L$20*100</f>
        <v>46.245297437103225</v>
      </c>
      <c r="M23" s="7">
        <v>44.9</v>
      </c>
      <c r="N23" s="10">
        <f>(33469+17382+8860)/N20*100</f>
        <v>43.59899236975649</v>
      </c>
      <c r="O23" s="10">
        <f>(30363+18478+9215)/$O$20*100</f>
        <v>43.00954187162923</v>
      </c>
    </row>
    <row r="24" spans="1:15" s="33" customFormat="1" ht="18">
      <c r="A24" s="60" t="s">
        <v>11</v>
      </c>
      <c r="B24" s="11" t="s">
        <v>3</v>
      </c>
      <c r="C24" s="11" t="s">
        <v>3</v>
      </c>
      <c r="D24" s="10">
        <v>25.3</v>
      </c>
      <c r="E24" s="10">
        <v>25</v>
      </c>
      <c r="F24" s="10">
        <v>23.6</v>
      </c>
      <c r="G24" s="10">
        <v>23.89022010325832</v>
      </c>
      <c r="H24" s="10">
        <f>39143/$H$20*100</f>
        <v>30.97221892531314</v>
      </c>
      <c r="I24" s="10">
        <f>42530/I20*100</f>
        <v>33.61391029440822</v>
      </c>
      <c r="J24" s="10">
        <f>44737/J20*100</f>
        <v>34.25733779510073</v>
      </c>
      <c r="K24" s="10">
        <f>46570/$K$20*100</f>
        <v>34.44730457423516</v>
      </c>
      <c r="L24" s="18">
        <f>48429/$L$20*100</f>
        <v>35.584440395015285</v>
      </c>
      <c r="M24" s="7">
        <v>36.9</v>
      </c>
      <c r="N24" s="10">
        <f>53501/N20*100</f>
        <v>39.0646562739586</v>
      </c>
      <c r="O24" s="10">
        <f>(55657)/$O$20*100</f>
        <v>41.23229419783085</v>
      </c>
    </row>
    <row r="25" spans="1:15" s="33" customFormat="1" ht="16.5">
      <c r="A25" s="60" t="s">
        <v>12</v>
      </c>
      <c r="B25" s="9">
        <v>47.2</v>
      </c>
      <c r="C25" s="10">
        <v>48.4</v>
      </c>
      <c r="D25" s="10">
        <v>26.8</v>
      </c>
      <c r="E25" s="10">
        <v>8.5</v>
      </c>
      <c r="F25" s="10">
        <v>4.5</v>
      </c>
      <c r="G25" s="10">
        <v>8.700377955090042</v>
      </c>
      <c r="H25" s="10">
        <f>9790/$H$20*100</f>
        <v>7.746417578591719</v>
      </c>
      <c r="I25" s="10">
        <f>8898/I20*100</f>
        <v>7.032602252519266</v>
      </c>
      <c r="J25" s="10">
        <f>13809/J20*100</f>
        <v>10.574235590507769</v>
      </c>
      <c r="K25" s="10">
        <f>15440/$K$20*100</f>
        <v>11.420794129830167</v>
      </c>
      <c r="L25" s="18">
        <f>15227/$L$20*100</f>
        <v>11.188425817070303</v>
      </c>
      <c r="M25" s="7">
        <v>11.3</v>
      </c>
      <c r="N25" s="10">
        <f>15825/1369.55</f>
        <v>11.554890292431821</v>
      </c>
      <c r="O25" s="10">
        <f>(13057)/$O$20*100</f>
        <v>9.672998281277781</v>
      </c>
    </row>
    <row r="26" spans="1:15" s="33" customFormat="1" ht="16.5">
      <c r="A26" s="60" t="s">
        <v>13</v>
      </c>
      <c r="B26" s="12" t="s">
        <v>2</v>
      </c>
      <c r="C26" s="12" t="s">
        <v>2</v>
      </c>
      <c r="D26" s="10" t="s">
        <v>0</v>
      </c>
      <c r="E26" s="6" t="s">
        <v>0</v>
      </c>
      <c r="F26" s="6" t="s">
        <v>0</v>
      </c>
      <c r="G26" s="6" t="s">
        <v>0</v>
      </c>
      <c r="H26" s="6" t="s">
        <v>0</v>
      </c>
      <c r="I26" s="6" t="s">
        <v>0</v>
      </c>
      <c r="J26" s="6" t="s">
        <v>0</v>
      </c>
      <c r="K26" s="6" t="s">
        <v>0</v>
      </c>
      <c r="L26" s="6" t="s">
        <v>0</v>
      </c>
      <c r="M26" s="7" t="s">
        <v>0</v>
      </c>
      <c r="N26" s="7" t="s">
        <v>0</v>
      </c>
      <c r="O26" s="10" t="s">
        <v>0</v>
      </c>
    </row>
    <row r="27" spans="1:15" s="56" customFormat="1" ht="18">
      <c r="A27" s="3" t="s">
        <v>36</v>
      </c>
      <c r="B27" s="4" t="s">
        <v>0</v>
      </c>
      <c r="C27" s="8" t="s">
        <v>0</v>
      </c>
      <c r="D27" s="8" t="s">
        <v>0</v>
      </c>
      <c r="E27" s="8">
        <v>12740</v>
      </c>
      <c r="F27" s="8">
        <v>13294</v>
      </c>
      <c r="G27" s="8">
        <v>15708</v>
      </c>
      <c r="H27" s="8">
        <v>10978</v>
      </c>
      <c r="I27" s="8">
        <v>10978</v>
      </c>
      <c r="J27" s="17">
        <v>6664</v>
      </c>
      <c r="K27" s="17">
        <v>1968</v>
      </c>
      <c r="L27" s="53">
        <v>1436</v>
      </c>
      <c r="M27" s="17">
        <v>2883</v>
      </c>
      <c r="N27" s="17">
        <v>606</v>
      </c>
      <c r="O27" s="17">
        <v>607</v>
      </c>
    </row>
    <row r="28" spans="1:15" s="56" customFormat="1" ht="17.25" customHeight="1">
      <c r="A28" s="41" t="s">
        <v>16</v>
      </c>
      <c r="B28" s="13">
        <v>436365</v>
      </c>
      <c r="C28" s="13">
        <v>436737</v>
      </c>
      <c r="D28" s="8">
        <v>434175</v>
      </c>
      <c r="E28" s="8">
        <v>432223</v>
      </c>
      <c r="F28" s="8">
        <v>431111</v>
      </c>
      <c r="G28" s="8">
        <v>431712</v>
      </c>
      <c r="H28" s="8">
        <v>432117</v>
      </c>
      <c r="I28" s="8">
        <v>386122</v>
      </c>
      <c r="J28" s="17">
        <v>171134</v>
      </c>
      <c r="K28" s="53">
        <v>389134</v>
      </c>
      <c r="L28" s="53">
        <v>388488</v>
      </c>
      <c r="M28" s="17">
        <v>389573</v>
      </c>
      <c r="N28" s="17">
        <v>389125</v>
      </c>
      <c r="O28" s="17">
        <v>383414</v>
      </c>
    </row>
    <row r="29" spans="1:15" s="33" customFormat="1" ht="16.5">
      <c r="A29" s="60" t="s">
        <v>8</v>
      </c>
      <c r="B29" s="14">
        <v>8.850618175151535</v>
      </c>
      <c r="C29" s="10">
        <v>7.7</v>
      </c>
      <c r="D29" s="10">
        <v>7.848217884493581</v>
      </c>
      <c r="E29" s="10">
        <v>6.8</v>
      </c>
      <c r="F29" s="10">
        <v>6.468867646615372</v>
      </c>
      <c r="G29" s="10">
        <v>6.546000361350339</v>
      </c>
      <c r="H29" s="10">
        <f>28902/$H$28*100</f>
        <v>6.6884663181499455</v>
      </c>
      <c r="I29" s="10">
        <f>30160/I28*100</f>
        <v>7.811002740066611</v>
      </c>
      <c r="J29" s="15">
        <v>8.8</v>
      </c>
      <c r="K29" s="54">
        <f>59942/$K$28*100</f>
        <v>15.403948254328842</v>
      </c>
      <c r="L29" s="18">
        <f>32889/$L$28*100</f>
        <v>8.465898560573299</v>
      </c>
      <c r="M29" s="7">
        <v>7.6</v>
      </c>
      <c r="N29" s="18">
        <f>(18019+11973)/N28*100</f>
        <v>7.707548988114358</v>
      </c>
      <c r="O29" s="18">
        <f>(17870+10654)/$O$28*100</f>
        <v>7.439477953335037</v>
      </c>
    </row>
    <row r="30" spans="1:15" s="33" customFormat="1" ht="18">
      <c r="A30" s="60" t="s">
        <v>9</v>
      </c>
      <c r="B30" s="11" t="s">
        <v>3</v>
      </c>
      <c r="C30" s="11" t="s">
        <v>3</v>
      </c>
      <c r="D30" s="10">
        <v>11.044624863246387</v>
      </c>
      <c r="E30" s="10">
        <v>12.4</v>
      </c>
      <c r="F30" s="10">
        <v>11.317502916882196</v>
      </c>
      <c r="G30" s="10">
        <v>11.427472817652427</v>
      </c>
      <c r="H30" s="10">
        <f>44722/$H$28*100</f>
        <v>10.349511822029681</v>
      </c>
      <c r="I30" s="10">
        <f>47372/I28*100</f>
        <v>12.268661200346004</v>
      </c>
      <c r="J30" s="15">
        <v>13</v>
      </c>
      <c r="K30" s="54">
        <f>61561/$K$28*100</f>
        <v>15.820000308377063</v>
      </c>
      <c r="L30" s="18">
        <f>49339/$L$28*100</f>
        <v>12.700263586005232</v>
      </c>
      <c r="M30" s="7">
        <v>12.8</v>
      </c>
      <c r="N30" s="18">
        <f>(27305+18596)/N28*100</f>
        <v>11.795952457436556</v>
      </c>
      <c r="O30" s="18">
        <f>(17255+27767)/$O$28*100</f>
        <v>11.742398556129928</v>
      </c>
    </row>
    <row r="31" spans="1:15" s="33" customFormat="1" ht="16.5">
      <c r="A31" s="60" t="s">
        <v>10</v>
      </c>
      <c r="B31" s="10">
        <v>43.8</v>
      </c>
      <c r="C31" s="10">
        <v>45.2</v>
      </c>
      <c r="D31" s="10">
        <v>32.29872747164162</v>
      </c>
      <c r="E31" s="10">
        <v>37.7</v>
      </c>
      <c r="F31" s="10">
        <v>33.47768904064151</v>
      </c>
      <c r="G31" s="10">
        <v>30.772224203986898</v>
      </c>
      <c r="H31" s="10">
        <v>34.4</v>
      </c>
      <c r="I31" s="10">
        <f>145277/I28*100</f>
        <v>37.62463677283346</v>
      </c>
      <c r="J31" s="15">
        <v>33.5</v>
      </c>
      <c r="K31" s="54">
        <f>174355/$K$28*100</f>
        <v>44.805902336984175</v>
      </c>
      <c r="L31" s="18">
        <f>169609/$L$28*100</f>
        <v>43.65874879018142</v>
      </c>
      <c r="M31" s="7">
        <v>43.7</v>
      </c>
      <c r="N31" s="18">
        <f>(118912+50121)/N28*100</f>
        <v>43.43925473819466</v>
      </c>
      <c r="O31" s="18">
        <f>(125624+44241)/$O$28*100</f>
        <v>44.30328574334792</v>
      </c>
    </row>
    <row r="32" spans="1:15" s="33" customFormat="1" ht="18">
      <c r="A32" s="60" t="s">
        <v>11</v>
      </c>
      <c r="B32" s="11" t="s">
        <v>3</v>
      </c>
      <c r="C32" s="11" t="s">
        <v>3</v>
      </c>
      <c r="D32" s="10">
        <v>17.708527667415215</v>
      </c>
      <c r="E32" s="10">
        <v>16.3</v>
      </c>
      <c r="F32" s="10">
        <v>16.128560857876508</v>
      </c>
      <c r="G32" s="10">
        <v>17.39647081169478</v>
      </c>
      <c r="H32" s="10">
        <f>86405/$H$28*100</f>
        <v>19.99574189397779</v>
      </c>
      <c r="I32" s="10">
        <f>88974/I28*100</f>
        <v>23.042976054200487</v>
      </c>
      <c r="J32" s="15">
        <v>21.3</v>
      </c>
      <c r="K32" s="54">
        <f>67087/$K$28*100</f>
        <v>17.240076683096312</v>
      </c>
      <c r="L32" s="18">
        <f>85365/$L$28*100</f>
        <v>21.973651695805277</v>
      </c>
      <c r="M32" s="7">
        <v>23.4</v>
      </c>
      <c r="N32" s="18">
        <f>(66116+30701)/N28*100</f>
        <v>24.880693864439447</v>
      </c>
      <c r="O32" s="18">
        <f>(65864+30240)/$O$28*100</f>
        <v>25.065334077524554</v>
      </c>
    </row>
    <row r="33" spans="1:15" s="33" customFormat="1" ht="16.5">
      <c r="A33" s="60" t="s">
        <v>12</v>
      </c>
      <c r="B33" s="14">
        <v>36.1529911885692</v>
      </c>
      <c r="C33" s="14">
        <v>36.1</v>
      </c>
      <c r="D33" s="10">
        <v>20.38256463407612</v>
      </c>
      <c r="E33" s="10">
        <v>15.9</v>
      </c>
      <c r="F33" s="10">
        <v>21.92683554815349</v>
      </c>
      <c r="G33" s="10">
        <v>23.655243980968883</v>
      </c>
      <c r="H33" s="10">
        <f>79539/$H$28*100</f>
        <v>18.406820375037316</v>
      </c>
      <c r="I33" s="10">
        <f>74339/I28*100</f>
        <v>19.252723232553443</v>
      </c>
      <c r="J33" s="15">
        <v>23.4</v>
      </c>
      <c r="K33" s="54">
        <f>26189/$K$28*100</f>
        <v>6.7300724172136075</v>
      </c>
      <c r="L33" s="18">
        <f>51286/$L$28*100</f>
        <v>13.201437367434773</v>
      </c>
      <c r="M33" s="7">
        <v>12.5</v>
      </c>
      <c r="N33" s="18">
        <f>(12401+34981)/N28*100</f>
        <v>12.17654995181497</v>
      </c>
      <c r="O33" s="18">
        <f>(31649+12250)/$O$28*100</f>
        <v>11.449503669662558</v>
      </c>
    </row>
    <row r="34" spans="1:15" s="33" customFormat="1" ht="16.5">
      <c r="A34" s="60" t="s">
        <v>13</v>
      </c>
      <c r="B34" s="14">
        <v>11.065736252907543</v>
      </c>
      <c r="C34" s="14">
        <v>11</v>
      </c>
      <c r="D34" s="10">
        <v>10.71733747912708</v>
      </c>
      <c r="E34" s="10">
        <v>10.859652163864332</v>
      </c>
      <c r="F34" s="10">
        <v>10.680543989830925</v>
      </c>
      <c r="G34" s="10">
        <v>10.202587824346674</v>
      </c>
      <c r="H34" s="10">
        <f>43811/$H$28*100</f>
        <v>10.138689290169097</v>
      </c>
      <c r="I34" s="10" t="s">
        <v>0</v>
      </c>
      <c r="J34" s="15" t="s">
        <v>0</v>
      </c>
      <c r="K34" s="10" t="s">
        <v>0</v>
      </c>
      <c r="L34" s="7" t="s">
        <v>0</v>
      </c>
      <c r="M34" s="7" t="s">
        <v>0</v>
      </c>
      <c r="N34" s="7" t="s">
        <v>0</v>
      </c>
      <c r="O34" s="7" t="s">
        <v>0</v>
      </c>
    </row>
    <row r="35" spans="1:15" s="56" customFormat="1" ht="18">
      <c r="A35" s="3" t="s">
        <v>36</v>
      </c>
      <c r="B35" s="8" t="s">
        <v>0</v>
      </c>
      <c r="C35" s="8" t="s">
        <v>0</v>
      </c>
      <c r="D35" s="8" t="s">
        <v>0</v>
      </c>
      <c r="E35" s="8" t="s">
        <v>0</v>
      </c>
      <c r="F35" s="8" t="s">
        <v>0</v>
      </c>
      <c r="G35" s="8" t="s">
        <v>0</v>
      </c>
      <c r="H35" s="8" t="s">
        <v>0</v>
      </c>
      <c r="I35" s="8">
        <v>2402</v>
      </c>
      <c r="J35" s="48">
        <v>217566</v>
      </c>
      <c r="K35" s="48" t="s">
        <v>0</v>
      </c>
      <c r="L35" s="22" t="s">
        <v>0</v>
      </c>
      <c r="M35" s="22" t="s">
        <v>0</v>
      </c>
      <c r="N35" s="22" t="s">
        <v>0</v>
      </c>
      <c r="O35" s="22" t="s">
        <v>0</v>
      </c>
    </row>
    <row r="36" spans="1:15" s="56" customFormat="1" ht="18">
      <c r="A36" s="3"/>
      <c r="B36" s="8"/>
      <c r="C36" s="8"/>
      <c r="D36" s="8"/>
      <c r="E36" s="8"/>
      <c r="F36" s="8"/>
      <c r="G36" s="8"/>
      <c r="H36" s="8"/>
      <c r="I36" s="8"/>
      <c r="J36" s="50"/>
      <c r="K36" s="48"/>
      <c r="L36" s="22"/>
      <c r="M36" s="22"/>
      <c r="N36" s="22"/>
      <c r="O36" s="22"/>
    </row>
    <row r="37" spans="1:15" s="58" customFormat="1" ht="16.5">
      <c r="A37" s="40" t="s">
        <v>31</v>
      </c>
      <c r="B37" s="4"/>
      <c r="C37" s="4"/>
      <c r="D37" s="4"/>
      <c r="E37" s="4"/>
      <c r="F37" s="4"/>
      <c r="G37" s="4"/>
      <c r="H37" s="4"/>
      <c r="I37" s="4"/>
      <c r="J37" s="21"/>
      <c r="K37" s="21"/>
      <c r="L37" s="21"/>
      <c r="M37" s="21"/>
      <c r="N37" s="21"/>
      <c r="O37" s="21"/>
    </row>
    <row r="38" spans="1:15" s="56" customFormat="1" ht="16.5">
      <c r="A38" s="3" t="s">
        <v>7</v>
      </c>
      <c r="B38" s="13">
        <v>11527</v>
      </c>
      <c r="C38" s="13">
        <v>11603</v>
      </c>
      <c r="D38" s="8">
        <v>12466</v>
      </c>
      <c r="E38" s="8">
        <v>10738</v>
      </c>
      <c r="F38" s="8">
        <v>12338</v>
      </c>
      <c r="G38" s="8">
        <v>12307</v>
      </c>
      <c r="H38" s="8">
        <v>12430</v>
      </c>
      <c r="I38" s="8">
        <v>12477</v>
      </c>
      <c r="J38" s="17">
        <v>12231</v>
      </c>
      <c r="K38" s="17">
        <v>13109</v>
      </c>
      <c r="L38" s="17">
        <v>13139</v>
      </c>
      <c r="M38" s="17">
        <v>13261</v>
      </c>
      <c r="N38" s="17">
        <v>13367</v>
      </c>
      <c r="O38" s="17">
        <v>14331</v>
      </c>
    </row>
    <row r="39" spans="1:15" s="33" customFormat="1" ht="16.5">
      <c r="A39" s="60" t="s">
        <v>8</v>
      </c>
      <c r="B39" s="14">
        <v>8.6</v>
      </c>
      <c r="C39" s="10">
        <v>7.7</v>
      </c>
      <c r="D39" s="10">
        <v>7.09128830418739</v>
      </c>
      <c r="E39" s="10">
        <v>10.6</v>
      </c>
      <c r="F39" s="10">
        <v>13</v>
      </c>
      <c r="G39" s="10">
        <v>10.4</v>
      </c>
      <c r="H39" s="10">
        <f>(169+325+578)/$H$38*100</f>
        <v>8.624296057924377</v>
      </c>
      <c r="I39" s="10">
        <f>(576+305+244)/I38*100</f>
        <v>9.016590526568887</v>
      </c>
      <c r="J39" s="10">
        <f>(571+289+285)/J38*100</f>
        <v>9.361458588831658</v>
      </c>
      <c r="K39" s="10">
        <f>954/$L$38*100</f>
        <v>7.260826546921378</v>
      </c>
      <c r="L39" s="18">
        <f>856/$L$38*100</f>
        <v>6.514955476063627</v>
      </c>
      <c r="M39" s="7">
        <v>7.4</v>
      </c>
      <c r="N39" s="10">
        <f>(549+249+229)/N38*100</f>
        <v>7.683100172065535</v>
      </c>
      <c r="O39" s="10">
        <f>(547+302+249)/$O$38*100</f>
        <v>7.661712371781452</v>
      </c>
    </row>
    <row r="40" spans="1:15" s="33" customFormat="1" ht="18">
      <c r="A40" s="60" t="s">
        <v>9</v>
      </c>
      <c r="B40" s="11" t="s">
        <v>3</v>
      </c>
      <c r="C40" s="11" t="s">
        <v>3</v>
      </c>
      <c r="D40" s="10">
        <v>13.2</v>
      </c>
      <c r="E40" s="10">
        <v>30.9</v>
      </c>
      <c r="F40" s="10">
        <v>29.9</v>
      </c>
      <c r="G40" s="10">
        <v>26.8</v>
      </c>
      <c r="H40" s="10">
        <f>(1181+2339)/$H$38*100</f>
        <v>28.31858407079646</v>
      </c>
      <c r="I40" s="10">
        <f>(2135+1235)/I38*100</f>
        <v>27.00969784403302</v>
      </c>
      <c r="J40" s="10">
        <f>(1912+1212)/J38*100</f>
        <v>25.541656446733707</v>
      </c>
      <c r="K40" s="10">
        <f>3034/$L$38*100</f>
        <v>23.091559479412435</v>
      </c>
      <c r="L40" s="18">
        <f>2846/$L$38*100</f>
        <v>21.660704772052668</v>
      </c>
      <c r="M40" s="7">
        <v>20.8</v>
      </c>
      <c r="N40" s="10">
        <f>(1679+1069)/N38*100</f>
        <v>20.558090820677787</v>
      </c>
      <c r="O40" s="10">
        <f>(1655+1083)/$O$38*100</f>
        <v>19.105435768613496</v>
      </c>
    </row>
    <row r="41" spans="1:15" s="33" customFormat="1" ht="16.5">
      <c r="A41" s="60" t="s">
        <v>10</v>
      </c>
      <c r="B41" s="10">
        <v>32.2</v>
      </c>
      <c r="C41" s="10">
        <v>32.3</v>
      </c>
      <c r="D41" s="10">
        <v>17.022300657789184</v>
      </c>
      <c r="E41" s="10">
        <v>23.6</v>
      </c>
      <c r="F41" s="10">
        <v>24.2</v>
      </c>
      <c r="G41" s="10">
        <v>23.8</v>
      </c>
      <c r="H41" s="10">
        <f>(3068)/$H$38*100</f>
        <v>24.682220434432825</v>
      </c>
      <c r="I41" s="10">
        <f>3041/I38*100</f>
        <v>24.37284603670754</v>
      </c>
      <c r="J41" s="10">
        <f>2664/J38*100</f>
        <v>21.78072111846946</v>
      </c>
      <c r="K41" s="54">
        <f>2961/$L$38*100</f>
        <v>22.535961640916355</v>
      </c>
      <c r="L41" s="18">
        <f>2817/$L$38*100</f>
        <v>21.439987822513128</v>
      </c>
      <c r="M41" s="7">
        <v>20.9</v>
      </c>
      <c r="N41" s="10">
        <f>2718/N38*100</f>
        <v>20.33365751477519</v>
      </c>
      <c r="O41" s="10">
        <f>(2693)/$O$38*100</f>
        <v>18.791431163212614</v>
      </c>
    </row>
    <row r="42" spans="1:15" s="33" customFormat="1" ht="18">
      <c r="A42" s="60" t="s">
        <v>11</v>
      </c>
      <c r="B42" s="11" t="s">
        <v>3</v>
      </c>
      <c r="C42" s="11" t="s">
        <v>3</v>
      </c>
      <c r="D42" s="10">
        <v>27.972084068666774</v>
      </c>
      <c r="E42" s="10">
        <v>28.3</v>
      </c>
      <c r="F42" s="10">
        <v>26.7</v>
      </c>
      <c r="G42" s="10">
        <v>27.53717396603559</v>
      </c>
      <c r="H42" s="10">
        <f>(3822)/$H$38*100</f>
        <v>30.74818986323411</v>
      </c>
      <c r="I42" s="10">
        <f>4107/I38*100</f>
        <v>32.91656648232748</v>
      </c>
      <c r="J42" s="10">
        <f>3909/J38*100</f>
        <v>31.959774343880305</v>
      </c>
      <c r="K42" s="10">
        <f>4581/$L$38*100</f>
        <v>34.86566709795266</v>
      </c>
      <c r="L42" s="18">
        <f>4875/$L$38*100</f>
        <v>37.10328031052592</v>
      </c>
      <c r="M42" s="7">
        <v>35.9</v>
      </c>
      <c r="N42" s="10">
        <f>4813/N38*100</f>
        <v>36.00658337697315</v>
      </c>
      <c r="O42" s="10">
        <f>(5240)/$O$38*100</f>
        <v>36.56409182890238</v>
      </c>
    </row>
    <row r="43" spans="1:15" s="33" customFormat="1" ht="16.5">
      <c r="A43" s="60" t="s">
        <v>12</v>
      </c>
      <c r="B43" s="14">
        <v>59.1</v>
      </c>
      <c r="C43" s="10">
        <v>60</v>
      </c>
      <c r="D43" s="10">
        <v>34.7</v>
      </c>
      <c r="E43" s="10">
        <v>6.5</v>
      </c>
      <c r="F43" s="10">
        <v>6.2</v>
      </c>
      <c r="G43" s="10">
        <v>11.391890793857154</v>
      </c>
      <c r="H43" s="10">
        <f>(948)/$H$38*100</f>
        <v>7.626709573612228</v>
      </c>
      <c r="I43" s="10">
        <f>834/I38*100</f>
        <v>6.684299110363067</v>
      </c>
      <c r="J43" s="10">
        <f>1389/J38*100</f>
        <v>11.356389502084866</v>
      </c>
      <c r="K43" s="10">
        <f>1579/$L$38*100</f>
        <v>12.017657355963163</v>
      </c>
      <c r="L43" s="18">
        <f>1745/$L$38*100</f>
        <v>13.281071618844662</v>
      </c>
      <c r="M43" s="7">
        <v>14.9</v>
      </c>
      <c r="N43" s="10">
        <f>2061/N38*100</f>
        <v>15.418568115508341</v>
      </c>
      <c r="O43" s="10">
        <f>(2562)/$O$38*100</f>
        <v>17.877328867490057</v>
      </c>
    </row>
    <row r="44" spans="1:15" s="33" customFormat="1" ht="16.5">
      <c r="A44" s="60" t="s">
        <v>13</v>
      </c>
      <c r="B44" s="6" t="s">
        <v>0</v>
      </c>
      <c r="C44" s="6" t="s">
        <v>0</v>
      </c>
      <c r="D44" s="6" t="s">
        <v>0</v>
      </c>
      <c r="E44" s="6" t="s">
        <v>0</v>
      </c>
      <c r="F44" s="6" t="s">
        <v>0</v>
      </c>
      <c r="G44" s="6" t="s">
        <v>0</v>
      </c>
      <c r="H44" s="6" t="s">
        <v>0</v>
      </c>
      <c r="I44" s="6" t="s">
        <v>0</v>
      </c>
      <c r="J44" s="6" t="s">
        <v>0</v>
      </c>
      <c r="K44" s="6" t="s">
        <v>0</v>
      </c>
      <c r="L44" s="7" t="s">
        <v>0</v>
      </c>
      <c r="M44" s="7" t="s">
        <v>0</v>
      </c>
      <c r="N44" s="7" t="s">
        <v>0</v>
      </c>
      <c r="O44" s="7" t="s">
        <v>0</v>
      </c>
    </row>
    <row r="45" spans="1:15" s="33" customFormat="1" ht="18">
      <c r="A45" s="3" t="s">
        <v>36</v>
      </c>
      <c r="B45" s="8" t="s">
        <v>0</v>
      </c>
      <c r="C45" s="8" t="s">
        <v>0</v>
      </c>
      <c r="D45" s="8" t="s">
        <v>0</v>
      </c>
      <c r="E45" s="8">
        <v>2140</v>
      </c>
      <c r="F45" s="8">
        <v>788</v>
      </c>
      <c r="G45" s="8">
        <v>857</v>
      </c>
      <c r="H45" s="8">
        <v>787</v>
      </c>
      <c r="I45" s="8">
        <v>771</v>
      </c>
      <c r="J45" s="8">
        <v>1040</v>
      </c>
      <c r="K45" s="8">
        <v>230</v>
      </c>
      <c r="L45" s="5">
        <v>226</v>
      </c>
      <c r="M45" s="5">
        <v>147</v>
      </c>
      <c r="N45" s="5">
        <v>123</v>
      </c>
      <c r="O45" s="5">
        <v>131</v>
      </c>
    </row>
    <row r="46" spans="1:15" s="56" customFormat="1" ht="16.5" customHeight="1">
      <c r="A46" s="41" t="s">
        <v>17</v>
      </c>
      <c r="B46" s="8">
        <v>7670</v>
      </c>
      <c r="C46" s="8">
        <v>7714</v>
      </c>
      <c r="D46" s="8">
        <v>8465</v>
      </c>
      <c r="E46" s="8">
        <v>7011</v>
      </c>
      <c r="F46" s="8">
        <v>7618</v>
      </c>
      <c r="G46" s="8">
        <v>7804</v>
      </c>
      <c r="H46" s="8">
        <v>8410</v>
      </c>
      <c r="I46" s="8">
        <v>8480</v>
      </c>
      <c r="J46" s="17">
        <v>8772</v>
      </c>
      <c r="K46" s="17">
        <v>8860</v>
      </c>
      <c r="L46" s="53">
        <v>8796</v>
      </c>
      <c r="M46" s="17">
        <v>8955</v>
      </c>
      <c r="N46" s="17">
        <v>9242</v>
      </c>
      <c r="O46" s="17">
        <v>9786</v>
      </c>
    </row>
    <row r="47" spans="1:15" s="33" customFormat="1" ht="16.5">
      <c r="A47" s="60" t="s">
        <v>8</v>
      </c>
      <c r="B47" s="10">
        <v>2.2</v>
      </c>
      <c r="C47" s="10">
        <v>2.3</v>
      </c>
      <c r="D47" s="10">
        <v>2.598936798582398</v>
      </c>
      <c r="E47" s="10">
        <v>3.8</v>
      </c>
      <c r="F47" s="10">
        <v>5.3</v>
      </c>
      <c r="G47" s="10">
        <v>4.766786263454638</v>
      </c>
      <c r="H47" s="10">
        <f>283/$H$46*100</f>
        <v>3.3650416171224733</v>
      </c>
      <c r="I47" s="10">
        <v>3.3</v>
      </c>
      <c r="J47" s="10">
        <f>(285)/J46*100</f>
        <v>3.248974008207935</v>
      </c>
      <c r="K47" s="10">
        <f>230/$K$46*100</f>
        <v>2.595936794582393</v>
      </c>
      <c r="L47" s="18">
        <f>247/$L$46*100</f>
        <v>2.808094588449295</v>
      </c>
      <c r="M47" s="7">
        <v>3.1</v>
      </c>
      <c r="N47" s="10">
        <f>251/N46*100</f>
        <v>2.715862367452932</v>
      </c>
      <c r="O47" s="10">
        <f>(233)/$O$46*100</f>
        <v>2.380952380952381</v>
      </c>
    </row>
    <row r="48" spans="1:15" s="33" customFormat="1" ht="18">
      <c r="A48" s="60" t="s">
        <v>9</v>
      </c>
      <c r="B48" s="11" t="s">
        <v>3</v>
      </c>
      <c r="C48" s="11" t="s">
        <v>3</v>
      </c>
      <c r="D48" s="10">
        <v>5.894861193148258</v>
      </c>
      <c r="E48" s="10">
        <v>9.4</v>
      </c>
      <c r="F48" s="10">
        <v>12.7</v>
      </c>
      <c r="G48" s="10">
        <v>9.828293182983087</v>
      </c>
      <c r="H48" s="10">
        <f>(483+252)/$H$46*100</f>
        <v>8.73959571938169</v>
      </c>
      <c r="I48" s="10">
        <v>8.7</v>
      </c>
      <c r="J48" s="10">
        <f>(490+277)/J46*100</f>
        <v>8.743730050159598</v>
      </c>
      <c r="K48" s="54">
        <f>714/$K$46*100</f>
        <v>8.058690744920993</v>
      </c>
      <c r="L48" s="18">
        <f>712/$L$46*100</f>
        <v>8.094588449295134</v>
      </c>
      <c r="M48" s="7">
        <v>7.1</v>
      </c>
      <c r="N48" s="10">
        <f>(467+232)/N46*100</f>
        <v>7.563297987448604</v>
      </c>
      <c r="O48" s="10">
        <f>(282+530)/$O$46*100</f>
        <v>8.297567954220316</v>
      </c>
    </row>
    <row r="49" spans="1:15" s="33" customFormat="1" ht="16.5">
      <c r="A49" s="60" t="s">
        <v>10</v>
      </c>
      <c r="B49" s="10">
        <v>43.9</v>
      </c>
      <c r="C49" s="10">
        <v>44.2</v>
      </c>
      <c r="D49" s="10">
        <v>32.4</v>
      </c>
      <c r="E49" s="10">
        <v>60.6</v>
      </c>
      <c r="F49" s="10">
        <v>58.1</v>
      </c>
      <c r="G49" s="10">
        <v>54.702716555612504</v>
      </c>
      <c r="H49" s="10">
        <f>(1114+1704+1786)/$H$46*100</f>
        <v>54.74435196195005</v>
      </c>
      <c r="I49" s="10">
        <v>58.5</v>
      </c>
      <c r="J49" s="10">
        <f>(1968+1643+1153)/J46*100</f>
        <v>54.309165526675784</v>
      </c>
      <c r="K49" s="10">
        <f>4751/$K$46*100</f>
        <v>53.62302483069977</v>
      </c>
      <c r="L49" s="55">
        <f>4456/$L$46*100</f>
        <v>50.659390632105506</v>
      </c>
      <c r="M49" s="7">
        <v>50.6</v>
      </c>
      <c r="N49" s="10">
        <f>(1965+1578+946)/N46*100</f>
        <v>48.57173771910841</v>
      </c>
      <c r="O49" s="10">
        <f>(2152+1430+887)/$O$46*100</f>
        <v>45.667279787451456</v>
      </c>
    </row>
    <row r="50" spans="1:15" s="33" customFormat="1" ht="18">
      <c r="A50" s="60" t="s">
        <v>11</v>
      </c>
      <c r="B50" s="11" t="s">
        <v>3</v>
      </c>
      <c r="C50" s="11" t="s">
        <v>3</v>
      </c>
      <c r="D50" s="10">
        <v>28.1</v>
      </c>
      <c r="E50" s="10">
        <v>22.7</v>
      </c>
      <c r="F50" s="10">
        <v>20.9</v>
      </c>
      <c r="G50" s="10">
        <v>20.425422860071755</v>
      </c>
      <c r="H50" s="10">
        <f>2214/$H$46*100</f>
        <v>26.325802615933412</v>
      </c>
      <c r="I50" s="10">
        <v>25.2</v>
      </c>
      <c r="J50" s="10">
        <f>2379/J46*100</f>
        <v>27.120383036935703</v>
      </c>
      <c r="K50" s="54">
        <f>2566/$K$46*100</f>
        <v>28.96162528216704</v>
      </c>
      <c r="L50" s="18">
        <f>2780/$L$46*100</f>
        <v>31.605275125056842</v>
      </c>
      <c r="M50" s="7">
        <v>31.5</v>
      </c>
      <c r="N50" s="10">
        <f>3076/N46*100</f>
        <v>33.28283921229171</v>
      </c>
      <c r="O50" s="10">
        <f>(3426)/$O$46*100</f>
        <v>35.00919681177192</v>
      </c>
    </row>
    <row r="51" spans="1:15" s="33" customFormat="1" ht="16.5">
      <c r="A51" s="60" t="s">
        <v>12</v>
      </c>
      <c r="B51" s="10">
        <v>53.9</v>
      </c>
      <c r="C51" s="10">
        <v>53.5</v>
      </c>
      <c r="D51" s="10">
        <v>31</v>
      </c>
      <c r="E51" s="10">
        <v>3.5</v>
      </c>
      <c r="F51" s="10">
        <v>2.9</v>
      </c>
      <c r="G51" s="10">
        <v>10.276781137878013</v>
      </c>
      <c r="H51" s="10">
        <f>574/$H$46*100</f>
        <v>6.825208085612367</v>
      </c>
      <c r="I51" s="10">
        <v>4.2</v>
      </c>
      <c r="J51" s="10">
        <f>577/J46*100</f>
        <v>6.577747378020976</v>
      </c>
      <c r="K51" s="10">
        <f>599/$K$46*100</f>
        <v>6.760722347629796</v>
      </c>
      <c r="L51" s="18">
        <f>601/$L$46*100</f>
        <v>6.8326512050932235</v>
      </c>
      <c r="M51" s="7">
        <v>7.7</v>
      </c>
      <c r="N51" s="10">
        <f>727/N46*100</f>
        <v>7.866262713698334</v>
      </c>
      <c r="O51" s="10">
        <f>(846)/$O$46*100</f>
        <v>8.645003065603923</v>
      </c>
    </row>
    <row r="52" spans="1:15" s="33" customFormat="1" ht="16.5">
      <c r="A52" s="60" t="s">
        <v>13</v>
      </c>
      <c r="B52" s="6" t="s">
        <v>0</v>
      </c>
      <c r="C52" s="6" t="s">
        <v>0</v>
      </c>
      <c r="D52" s="6" t="s">
        <v>0</v>
      </c>
      <c r="E52" s="6" t="s">
        <v>0</v>
      </c>
      <c r="F52" s="6" t="s">
        <v>0</v>
      </c>
      <c r="G52" s="6" t="s">
        <v>0</v>
      </c>
      <c r="H52" s="6" t="s">
        <v>0</v>
      </c>
      <c r="I52" s="6" t="s">
        <v>0</v>
      </c>
      <c r="J52" s="6" t="s">
        <v>0</v>
      </c>
      <c r="K52" s="6" t="s">
        <v>0</v>
      </c>
      <c r="L52" s="7" t="s">
        <v>0</v>
      </c>
      <c r="M52" s="7" t="s">
        <v>0</v>
      </c>
      <c r="N52" s="7" t="s">
        <v>0</v>
      </c>
      <c r="O52" s="7" t="s">
        <v>0</v>
      </c>
    </row>
    <row r="53" spans="1:15" s="33" customFormat="1" ht="18">
      <c r="A53" s="3" t="s">
        <v>36</v>
      </c>
      <c r="B53" s="8" t="s">
        <v>0</v>
      </c>
      <c r="C53" s="8" t="s">
        <v>0</v>
      </c>
      <c r="D53" s="8" t="s">
        <v>0</v>
      </c>
      <c r="E53" s="8">
        <v>1846</v>
      </c>
      <c r="F53" s="8">
        <v>1377</v>
      </c>
      <c r="G53" s="8">
        <v>1166</v>
      </c>
      <c r="H53" s="8">
        <v>617</v>
      </c>
      <c r="I53" s="8">
        <v>579</v>
      </c>
      <c r="J53" s="8">
        <v>397</v>
      </c>
      <c r="K53" s="8">
        <v>281</v>
      </c>
      <c r="L53" s="53">
        <v>353</v>
      </c>
      <c r="M53" s="5">
        <v>176</v>
      </c>
      <c r="N53" s="5">
        <v>82</v>
      </c>
      <c r="O53" s="5">
        <v>81</v>
      </c>
    </row>
    <row r="54" spans="1:15" s="56" customFormat="1" ht="18" customHeight="1">
      <c r="A54" s="41" t="s">
        <v>14</v>
      </c>
      <c r="B54" s="8">
        <v>51987</v>
      </c>
      <c r="C54" s="8">
        <v>52349</v>
      </c>
      <c r="D54" s="8">
        <v>52165</v>
      </c>
      <c r="E54" s="8">
        <v>30337</v>
      </c>
      <c r="F54" s="8">
        <v>38598</v>
      </c>
      <c r="G54" s="8">
        <v>41444</v>
      </c>
      <c r="H54" s="8">
        <v>44498</v>
      </c>
      <c r="I54" s="8">
        <v>45009</v>
      </c>
      <c r="J54" s="17">
        <v>44886</v>
      </c>
      <c r="K54" s="17">
        <v>48045</v>
      </c>
      <c r="L54" s="53">
        <v>47890</v>
      </c>
      <c r="M54" s="17">
        <v>48931</v>
      </c>
      <c r="N54" s="17">
        <v>50016</v>
      </c>
      <c r="O54" s="17">
        <v>53431</v>
      </c>
    </row>
    <row r="55" spans="1:15" s="33" customFormat="1" ht="16.5">
      <c r="A55" s="60" t="s">
        <v>8</v>
      </c>
      <c r="B55" s="10">
        <v>5.9</v>
      </c>
      <c r="C55" s="10">
        <v>6.6</v>
      </c>
      <c r="D55" s="10">
        <v>6.7765743314482885</v>
      </c>
      <c r="E55" s="10">
        <v>9.2</v>
      </c>
      <c r="F55" s="10">
        <v>12.5</v>
      </c>
      <c r="G55" s="10">
        <v>12.431232506514815</v>
      </c>
      <c r="H55" s="10">
        <f>5245/$H$54*100</f>
        <v>11.787046608836352</v>
      </c>
      <c r="I55" s="10">
        <v>12.1</v>
      </c>
      <c r="J55" s="10">
        <f>(5772)/J54*100</f>
        <v>12.859243416655527</v>
      </c>
      <c r="K55" s="10">
        <f>6002/$K$54*100</f>
        <v>12.492454990113435</v>
      </c>
      <c r="L55" s="18">
        <f>6313/$L$54*100</f>
        <v>13.182292754228438</v>
      </c>
      <c r="M55" s="7">
        <v>12.9</v>
      </c>
      <c r="N55" s="10">
        <f>(6632)/N54*100</f>
        <v>13.259756877799104</v>
      </c>
      <c r="O55" s="10">
        <f>(6775)/$O$54*100</f>
        <v>12.679904924107726</v>
      </c>
    </row>
    <row r="56" spans="1:15" s="33" customFormat="1" ht="18">
      <c r="A56" s="60" t="s">
        <v>9</v>
      </c>
      <c r="B56" s="11" t="s">
        <v>3</v>
      </c>
      <c r="C56" s="11" t="s">
        <v>3</v>
      </c>
      <c r="D56" s="10">
        <v>11.5</v>
      </c>
      <c r="E56" s="10">
        <v>13.3</v>
      </c>
      <c r="F56" s="10">
        <v>16.3</v>
      </c>
      <c r="G56" s="10">
        <v>14.71141781681305</v>
      </c>
      <c r="H56" s="10">
        <f>(2751+3511)/$H$54*100</f>
        <v>14.072542586183648</v>
      </c>
      <c r="I56" s="10">
        <v>14.6</v>
      </c>
      <c r="J56" s="10">
        <f>(3233+5051)/J54*100</f>
        <v>18.45564318495745</v>
      </c>
      <c r="K56" s="10">
        <f>8696/$K$54*100</f>
        <v>18.09969819960454</v>
      </c>
      <c r="L56" s="18">
        <f>8054/$L$54*100</f>
        <v>16.817707245771558</v>
      </c>
      <c r="M56" s="7">
        <v>16.4</v>
      </c>
      <c r="N56" s="10">
        <f>(4446+3753)/N54*100</f>
        <v>16.392754318618042</v>
      </c>
      <c r="O56" s="10">
        <f>(4717+4020)/$O$54*100</f>
        <v>16.351930527222024</v>
      </c>
    </row>
    <row r="57" spans="1:15" s="33" customFormat="1" ht="16.5">
      <c r="A57" s="60" t="s">
        <v>10</v>
      </c>
      <c r="B57" s="10">
        <v>49</v>
      </c>
      <c r="C57" s="10">
        <v>49.1</v>
      </c>
      <c r="D57" s="10">
        <v>34.8</v>
      </c>
      <c r="E57" s="10">
        <v>55</v>
      </c>
      <c r="F57" s="10">
        <v>50.8</v>
      </c>
      <c r="G57" s="10">
        <v>47.20828105395232</v>
      </c>
      <c r="H57" s="10">
        <f>(6074+8517+7174)/$H$54*100</f>
        <v>48.912310665647894</v>
      </c>
      <c r="I57" s="10">
        <v>49.5</v>
      </c>
      <c r="J57" s="10">
        <f>(6047+7024+7240)/J54*100</f>
        <v>45.250189368622735</v>
      </c>
      <c r="K57" s="10">
        <f>21714/$K$54*100</f>
        <v>45.195129566031845</v>
      </c>
      <c r="L57" s="18">
        <f>21615/$L$54*100</f>
        <v>45.13468365003132</v>
      </c>
      <c r="M57" s="7">
        <v>45.7</v>
      </c>
      <c r="N57" s="10">
        <f>(8633+7766+6653)/N54*100</f>
        <v>46.089251439539346</v>
      </c>
      <c r="O57" s="10">
        <f>(9763+8195+7016)/$O$54*100</f>
        <v>46.7406561733825</v>
      </c>
    </row>
    <row r="58" spans="1:15" s="33" customFormat="1" ht="18">
      <c r="A58" s="60" t="s">
        <v>11</v>
      </c>
      <c r="B58" s="11" t="s">
        <v>3</v>
      </c>
      <c r="C58" s="11" t="s">
        <v>3</v>
      </c>
      <c r="D58" s="10">
        <v>21.447330585641712</v>
      </c>
      <c r="E58" s="10">
        <v>19.3364881192106</v>
      </c>
      <c r="F58" s="10">
        <v>16.6</v>
      </c>
      <c r="G58" s="10">
        <v>15.944406910529871</v>
      </c>
      <c r="H58" s="10">
        <f>7792/$H$54*100</f>
        <v>17.51089936626365</v>
      </c>
      <c r="I58" s="10">
        <v>17.8</v>
      </c>
      <c r="J58" s="10">
        <f>7907/J54*100</f>
        <v>17.6157376464822</v>
      </c>
      <c r="K58" s="10">
        <f>9034/$K$54*100</f>
        <v>18.803205328338016</v>
      </c>
      <c r="L58" s="18">
        <f>9305/$L$54*100</f>
        <v>19.42994362079766</v>
      </c>
      <c r="M58" s="7">
        <v>19.5</v>
      </c>
      <c r="N58" s="10">
        <f>9701/N54*100</f>
        <v>19.39579334612924</v>
      </c>
      <c r="O58" s="10">
        <f>(10440)/$O$54*100</f>
        <v>19.539218805562314</v>
      </c>
    </row>
    <row r="59" spans="1:15" s="33" customFormat="1" ht="16.5">
      <c r="A59" s="60" t="s">
        <v>12</v>
      </c>
      <c r="B59" s="10">
        <v>45.1</v>
      </c>
      <c r="C59" s="10">
        <v>44.3</v>
      </c>
      <c r="D59" s="10">
        <v>25.338828716572415</v>
      </c>
      <c r="E59" s="10">
        <v>3.3</v>
      </c>
      <c r="F59" s="10">
        <v>3.8</v>
      </c>
      <c r="G59" s="10">
        <v>9.704661712189944</v>
      </c>
      <c r="H59" s="10">
        <f>3434/$H$54*100</f>
        <v>7.717200773068453</v>
      </c>
      <c r="I59" s="10">
        <v>6</v>
      </c>
      <c r="J59" s="10">
        <f>2612/J54*100</f>
        <v>5.8191863832820925</v>
      </c>
      <c r="K59" s="10">
        <f>2599/$K$54*100</f>
        <v>5.409511915912166</v>
      </c>
      <c r="L59" s="18">
        <f>2603/$L$54*100</f>
        <v>5.435372729171017</v>
      </c>
      <c r="M59" s="7">
        <v>5.5</v>
      </c>
      <c r="N59" s="10">
        <f>2432/N54*100</f>
        <v>4.862444017914267</v>
      </c>
      <c r="O59" s="10">
        <f>(2505)/$O$54*100</f>
        <v>4.68828956972544</v>
      </c>
    </row>
    <row r="60" spans="1:15" s="33" customFormat="1" ht="16.5">
      <c r="A60" s="60" t="s">
        <v>13</v>
      </c>
      <c r="B60" s="6" t="s">
        <v>0</v>
      </c>
      <c r="C60" s="10" t="s">
        <v>0</v>
      </c>
      <c r="D60" s="6" t="s">
        <v>0</v>
      </c>
      <c r="E60" s="6" t="s">
        <v>0</v>
      </c>
      <c r="F60" s="6" t="s">
        <v>0</v>
      </c>
      <c r="G60" s="6" t="s">
        <v>0</v>
      </c>
      <c r="H60" s="6" t="s">
        <v>0</v>
      </c>
      <c r="I60" s="6" t="s">
        <v>0</v>
      </c>
      <c r="J60" s="6" t="s">
        <v>0</v>
      </c>
      <c r="K60" s="6" t="s">
        <v>0</v>
      </c>
      <c r="L60" s="7" t="s">
        <v>0</v>
      </c>
      <c r="M60" s="7" t="s">
        <v>0</v>
      </c>
      <c r="N60" s="7" t="s">
        <v>0</v>
      </c>
      <c r="O60" s="7" t="s">
        <v>0</v>
      </c>
    </row>
    <row r="61" spans="1:15" s="33" customFormat="1" ht="18">
      <c r="A61" s="3" t="s">
        <v>36</v>
      </c>
      <c r="B61" s="8" t="s">
        <v>0</v>
      </c>
      <c r="C61" s="8" t="s">
        <v>0</v>
      </c>
      <c r="D61" s="8" t="s">
        <v>0</v>
      </c>
      <c r="E61" s="8">
        <v>22498</v>
      </c>
      <c r="F61" s="8">
        <v>14492</v>
      </c>
      <c r="G61" s="8">
        <v>11352</v>
      </c>
      <c r="H61" s="8">
        <v>8485</v>
      </c>
      <c r="I61" s="8">
        <v>8209</v>
      </c>
      <c r="J61" s="8">
        <v>8246</v>
      </c>
      <c r="K61" s="8">
        <v>5154</v>
      </c>
      <c r="L61" s="53">
        <v>5426</v>
      </c>
      <c r="M61" s="17">
        <v>4126</v>
      </c>
      <c r="N61" s="17">
        <v>3422</v>
      </c>
      <c r="O61" s="17">
        <v>3440</v>
      </c>
    </row>
    <row r="62" spans="1:15" s="56" customFormat="1" ht="16.5" customHeight="1">
      <c r="A62" s="41" t="s">
        <v>15</v>
      </c>
      <c r="B62" s="8">
        <v>74656</v>
      </c>
      <c r="C62" s="8">
        <v>74979</v>
      </c>
      <c r="D62" s="8">
        <v>80368</v>
      </c>
      <c r="E62" s="8">
        <v>86819</v>
      </c>
      <c r="F62" s="8">
        <v>87852</v>
      </c>
      <c r="G62" s="8">
        <v>88510</v>
      </c>
      <c r="H62" s="8">
        <v>89020</v>
      </c>
      <c r="I62" s="8">
        <v>88484</v>
      </c>
      <c r="J62" s="17">
        <v>45275</v>
      </c>
      <c r="K62" s="53">
        <v>88663</v>
      </c>
      <c r="L62" s="53">
        <v>88338</v>
      </c>
      <c r="M62" s="17">
        <v>88260</v>
      </c>
      <c r="N62" s="17">
        <v>89559</v>
      </c>
      <c r="O62" s="17">
        <v>92527</v>
      </c>
    </row>
    <row r="63" spans="1:15" s="33" customFormat="1" ht="16.5">
      <c r="A63" s="60" t="s">
        <v>8</v>
      </c>
      <c r="B63" s="10">
        <v>8.9</v>
      </c>
      <c r="C63" s="10">
        <v>7.4</v>
      </c>
      <c r="D63" s="10">
        <v>7.875024885526578</v>
      </c>
      <c r="E63" s="10">
        <v>7.9</v>
      </c>
      <c r="F63" s="10">
        <v>6.736329281063607</v>
      </c>
      <c r="G63" s="10">
        <v>6.720144616427522</v>
      </c>
      <c r="H63" s="10">
        <f>6179/$H$62*100</f>
        <v>6.941136823185801</v>
      </c>
      <c r="I63" s="10">
        <f>6337/I62*100</f>
        <v>7.161746756475747</v>
      </c>
      <c r="J63" s="10">
        <v>5.7</v>
      </c>
      <c r="K63" s="54">
        <f>17221/$K$62*100</f>
        <v>19.422983657218907</v>
      </c>
      <c r="L63" s="18">
        <f>8849/$L$62*100</f>
        <v>10.017206638139871</v>
      </c>
      <c r="M63" s="18">
        <v>10.5</v>
      </c>
      <c r="N63" s="10">
        <f>(7243+2173)/N62*100</f>
        <v>10.51373954599761</v>
      </c>
      <c r="O63" s="10">
        <f>(8267+2286)/$O$62*100</f>
        <v>11.405319528353886</v>
      </c>
    </row>
    <row r="64" spans="1:15" s="33" customFormat="1" ht="18">
      <c r="A64" s="60" t="s">
        <v>9</v>
      </c>
      <c r="B64" s="11" t="s">
        <v>3</v>
      </c>
      <c r="C64" s="11" t="s">
        <v>3</v>
      </c>
      <c r="D64" s="10">
        <v>14.3</v>
      </c>
      <c r="E64" s="10">
        <v>13.8</v>
      </c>
      <c r="F64" s="10">
        <v>12.291125984610481</v>
      </c>
      <c r="G64" s="10">
        <v>13.60298271381765</v>
      </c>
      <c r="H64" s="10">
        <f>11529/$H$62*100</f>
        <v>12.951022242192767</v>
      </c>
      <c r="I64" s="10">
        <f>11537/I62*100</f>
        <v>13.038515437819267</v>
      </c>
      <c r="J64" s="10">
        <v>12.2</v>
      </c>
      <c r="K64" s="54">
        <f>15469/$K$62*100</f>
        <v>17.446962092417355</v>
      </c>
      <c r="L64" s="18">
        <f>14145/$L$62*100</f>
        <v>16.012361611084696</v>
      </c>
      <c r="M64" s="18">
        <v>15.9</v>
      </c>
      <c r="N64" s="10">
        <f>(9138+5285)/N62*100</f>
        <v>16.104467446041156</v>
      </c>
      <c r="O64" s="10">
        <f>(10354+4941)/$O$62*100</f>
        <v>16.53031007165476</v>
      </c>
    </row>
    <row r="65" spans="1:15" s="33" customFormat="1" ht="16.5">
      <c r="A65" s="60" t="s">
        <v>10</v>
      </c>
      <c r="B65" s="10">
        <v>48.5</v>
      </c>
      <c r="C65" s="10">
        <v>49.9</v>
      </c>
      <c r="D65" s="10">
        <v>34.1</v>
      </c>
      <c r="E65" s="10">
        <v>40.2</v>
      </c>
      <c r="F65" s="10">
        <v>38.09816509584301</v>
      </c>
      <c r="G65" s="10">
        <v>36.870410123149924</v>
      </c>
      <c r="H65" s="10">
        <f>33708/$H$62*100</f>
        <v>37.8656481689508</v>
      </c>
      <c r="I65" s="10">
        <f>33503/I62*100</f>
        <v>37.8633425252023</v>
      </c>
      <c r="J65" s="10">
        <v>36</v>
      </c>
      <c r="K65" s="54">
        <f>36094/$K$62*100</f>
        <v>40.70920226024384</v>
      </c>
      <c r="L65" s="18">
        <f>35172/$L$62*100</f>
        <v>39.8152550431298</v>
      </c>
      <c r="M65" s="18">
        <v>41.1</v>
      </c>
      <c r="N65" s="10">
        <f>(22268+14175)/N62*100</f>
        <v>40.69161111669402</v>
      </c>
      <c r="O65" s="10">
        <f>(24626+13831)/$O$62*100</f>
        <v>41.56300323148919</v>
      </c>
    </row>
    <row r="66" spans="1:15" s="33" customFormat="1" ht="18">
      <c r="A66" s="60" t="s">
        <v>11</v>
      </c>
      <c r="B66" s="11" t="s">
        <v>3</v>
      </c>
      <c r="C66" s="11" t="s">
        <v>3</v>
      </c>
      <c r="D66" s="10">
        <v>19.181763886123832</v>
      </c>
      <c r="E66" s="10">
        <v>18.4</v>
      </c>
      <c r="F66" s="10">
        <v>20.45940900605564</v>
      </c>
      <c r="G66" s="10">
        <v>20.43497909840696</v>
      </c>
      <c r="H66" s="10">
        <f>18447/$H$62*100</f>
        <v>20.72230959334981</v>
      </c>
      <c r="I66" s="10">
        <f>18892/I62*100</f>
        <v>21.35075267845034</v>
      </c>
      <c r="J66" s="10">
        <v>22.1</v>
      </c>
      <c r="K66" s="54">
        <f>12563/$K$62*100</f>
        <v>14.169382944407474</v>
      </c>
      <c r="L66" s="18">
        <f>14900/$L$62*100</f>
        <v>16.867033439742805</v>
      </c>
      <c r="M66" s="18">
        <v>16.8</v>
      </c>
      <c r="N66" s="10">
        <f>(7044+8529)/N62*100</f>
        <v>17.38853716544401</v>
      </c>
      <c r="O66" s="10">
        <f>(7608+7857)/$O$62*100</f>
        <v>16.714040226096166</v>
      </c>
    </row>
    <row r="67" spans="1:15" s="33" customFormat="1" ht="16.5">
      <c r="A67" s="60" t="s">
        <v>12</v>
      </c>
      <c r="B67" s="10">
        <v>42.1</v>
      </c>
      <c r="C67" s="10">
        <v>42.1</v>
      </c>
      <c r="D67" s="10">
        <v>23.99338044993032</v>
      </c>
      <c r="E67" s="10">
        <v>19.4</v>
      </c>
      <c r="F67" s="10">
        <v>22.06665756044256</v>
      </c>
      <c r="G67" s="10">
        <v>22.05061574963281</v>
      </c>
      <c r="H67" s="10">
        <f>18822/$H$62*100</f>
        <v>21.143563244214782</v>
      </c>
      <c r="I67" s="10">
        <f>18215/I62*100</f>
        <v>20.58564260205235</v>
      </c>
      <c r="J67" s="10">
        <v>24</v>
      </c>
      <c r="K67" s="54">
        <f>7316/$K$62*100</f>
        <v>8.251469045712417</v>
      </c>
      <c r="L67" s="18">
        <f>15272/$L$62*100</f>
        <v>17.28814326790283</v>
      </c>
      <c r="M67" s="18">
        <v>15.7</v>
      </c>
      <c r="N67" s="10">
        <f>(3328+10376)/N62*100</f>
        <v>15.301644725823198</v>
      </c>
      <c r="O67" s="10">
        <f>(3274+9483)/$O$62*100</f>
        <v>13.787326942406</v>
      </c>
    </row>
    <row r="68" spans="1:15" s="33" customFormat="1" ht="16.5">
      <c r="A68" s="60" t="s">
        <v>13</v>
      </c>
      <c r="B68" s="10">
        <v>0.4956065152164595</v>
      </c>
      <c r="C68" s="10">
        <v>0.6</v>
      </c>
      <c r="D68" s="10">
        <v>0.5101532948437189</v>
      </c>
      <c r="E68" s="10">
        <v>0.36470834984036726</v>
      </c>
      <c r="F68" s="10">
        <v>0.3483130719847015</v>
      </c>
      <c r="G68" s="10">
        <v>0.32086769856513386</v>
      </c>
      <c r="H68" s="10">
        <f>335/$H$62*100</f>
        <v>0.3763199281060436</v>
      </c>
      <c r="I68" s="10" t="s">
        <v>0</v>
      </c>
      <c r="J68" s="10" t="s">
        <v>0</v>
      </c>
      <c r="K68" s="10" t="s">
        <v>0</v>
      </c>
      <c r="L68" s="18" t="s">
        <v>0</v>
      </c>
      <c r="M68" s="18" t="s">
        <v>0</v>
      </c>
      <c r="N68" s="18" t="s">
        <v>0</v>
      </c>
      <c r="O68" s="18" t="s">
        <v>0</v>
      </c>
    </row>
    <row r="69" spans="1:15" s="33" customFormat="1" ht="18">
      <c r="A69" s="3" t="s">
        <v>36</v>
      </c>
      <c r="B69" s="8" t="s">
        <v>0</v>
      </c>
      <c r="C69" s="8" t="s">
        <v>0</v>
      </c>
      <c r="D69" s="8" t="s">
        <v>0</v>
      </c>
      <c r="E69" s="8" t="s">
        <v>0</v>
      </c>
      <c r="F69" s="8" t="s">
        <v>0</v>
      </c>
      <c r="G69" s="8" t="s">
        <v>0</v>
      </c>
      <c r="H69" s="8" t="s">
        <v>0</v>
      </c>
      <c r="I69" s="8">
        <v>374</v>
      </c>
      <c r="J69" s="8">
        <v>43435</v>
      </c>
      <c r="K69" s="8" t="s">
        <v>0</v>
      </c>
      <c r="L69" s="5" t="s">
        <v>0</v>
      </c>
      <c r="M69" s="5" t="s">
        <v>0</v>
      </c>
      <c r="N69" s="5" t="s">
        <v>0</v>
      </c>
      <c r="O69" s="5" t="s">
        <v>0</v>
      </c>
    </row>
    <row r="70" spans="1:15" s="56" customFormat="1" ht="16.5">
      <c r="A70" s="3" t="s">
        <v>18</v>
      </c>
      <c r="B70" s="8">
        <v>78248</v>
      </c>
      <c r="C70" s="8">
        <v>77097</v>
      </c>
      <c r="D70" s="8">
        <v>82657</v>
      </c>
      <c r="E70" s="8">
        <v>84856</v>
      </c>
      <c r="F70" s="8">
        <v>86098</v>
      </c>
      <c r="G70" s="8">
        <v>87331</v>
      </c>
      <c r="H70" s="8">
        <v>87790</v>
      </c>
      <c r="I70" s="8">
        <v>86666</v>
      </c>
      <c r="J70" s="17">
        <v>53806</v>
      </c>
      <c r="K70" s="53">
        <v>86821</v>
      </c>
      <c r="L70" s="53">
        <v>86030</v>
      </c>
      <c r="M70" s="17">
        <v>86267</v>
      </c>
      <c r="N70" s="17">
        <v>87754</v>
      </c>
      <c r="O70" s="17">
        <v>94939</v>
      </c>
    </row>
    <row r="71" spans="1:15" s="33" customFormat="1" ht="16.5">
      <c r="A71" s="60" t="s">
        <v>8</v>
      </c>
      <c r="B71" s="10">
        <v>16.5</v>
      </c>
      <c r="C71" s="10">
        <v>11.235197219087643</v>
      </c>
      <c r="D71" s="10">
        <v>10.468562856140435</v>
      </c>
      <c r="E71" s="10">
        <v>10.6</v>
      </c>
      <c r="F71" s="10">
        <v>9.774907663360356</v>
      </c>
      <c r="G71" s="10">
        <v>9.6907169275515</v>
      </c>
      <c r="H71" s="10">
        <f>8509/$H$70*100</f>
        <v>9.692447887003075</v>
      </c>
      <c r="I71" s="10">
        <f>9165/I70*100</f>
        <v>10.57508134677959</v>
      </c>
      <c r="J71" s="10">
        <v>8.1</v>
      </c>
      <c r="K71" s="54">
        <f>19145/$K$70*100</f>
        <v>22.051116665322905</v>
      </c>
      <c r="L71" s="18">
        <f>12657/$L$70*100</f>
        <v>14.712309659421132</v>
      </c>
      <c r="M71" s="7">
        <v>14.6</v>
      </c>
      <c r="N71" s="10">
        <f>(9520+4006)/N70*100</f>
        <v>15.413542402625522</v>
      </c>
      <c r="O71" s="10">
        <f>(11090+4605)/$O$70*100</f>
        <v>16.531667702419448</v>
      </c>
    </row>
    <row r="72" spans="1:15" s="33" customFormat="1" ht="18">
      <c r="A72" s="60" t="s">
        <v>9</v>
      </c>
      <c r="B72" s="11" t="s">
        <v>3</v>
      </c>
      <c r="C72" s="11" t="s">
        <v>3</v>
      </c>
      <c r="D72" s="10">
        <v>16.8576164148227</v>
      </c>
      <c r="E72" s="10">
        <v>16.794724636323174</v>
      </c>
      <c r="F72" s="10">
        <v>16.212920160747053</v>
      </c>
      <c r="G72" s="10">
        <v>16.772967216681362</v>
      </c>
      <c r="H72" s="10">
        <f>14548/$H$70*100</f>
        <v>16.571363481034286</v>
      </c>
      <c r="I72" s="10">
        <f>13903/I70*100</f>
        <v>16.042046477280593</v>
      </c>
      <c r="J72" s="10">
        <v>12.8</v>
      </c>
      <c r="K72" s="54">
        <f>15173/$K$70*100</f>
        <v>17.476186636873567</v>
      </c>
      <c r="L72" s="18">
        <f>14999/$L$70*100</f>
        <v>17.43461583168662</v>
      </c>
      <c r="M72" s="7">
        <v>17.3</v>
      </c>
      <c r="N72" s="10">
        <f>(7224+8035)/N70*100</f>
        <v>17.388381156414525</v>
      </c>
      <c r="O72" s="10">
        <f>(7938+8688)/$O$70*100</f>
        <v>17.51229736989014</v>
      </c>
    </row>
    <row r="73" spans="1:15" s="33" customFormat="1" ht="16.5">
      <c r="A73" s="60" t="s">
        <v>10</v>
      </c>
      <c r="B73" s="10">
        <v>50.4</v>
      </c>
      <c r="C73" s="10">
        <v>53.5</v>
      </c>
      <c r="D73" s="10">
        <v>35.2</v>
      </c>
      <c r="E73" s="10">
        <v>40</v>
      </c>
      <c r="F73" s="10">
        <v>40.02415851703872</v>
      </c>
      <c r="G73" s="10">
        <v>38.97356036229976</v>
      </c>
      <c r="H73" s="10">
        <f>34447/$H$70*100</f>
        <v>39.237954208907624</v>
      </c>
      <c r="I73" s="10">
        <f>33804/I70*100</f>
        <v>39.00491542242633</v>
      </c>
      <c r="J73" s="10">
        <v>39.4</v>
      </c>
      <c r="K73" s="54">
        <f>32746/$K$70*100</f>
        <v>37.716681448036766</v>
      </c>
      <c r="L73" s="18">
        <f>30735/$L$70*100</f>
        <v>35.72590956643032</v>
      </c>
      <c r="M73" s="7">
        <v>36.6</v>
      </c>
      <c r="N73" s="10">
        <f>(11701+20594)/N70*100</f>
        <v>36.80174123116895</v>
      </c>
      <c r="O73" s="10">
        <f>(13817+20385)/$O$70*100</f>
        <v>36.025237257607515</v>
      </c>
    </row>
    <row r="74" spans="1:15" s="33" customFormat="1" ht="18">
      <c r="A74" s="60" t="s">
        <v>11</v>
      </c>
      <c r="B74" s="11" t="s">
        <v>3</v>
      </c>
      <c r="C74" s="11" t="s">
        <v>3</v>
      </c>
      <c r="D74" s="10">
        <v>17.3</v>
      </c>
      <c r="E74" s="10">
        <v>16.1</v>
      </c>
      <c r="F74" s="10">
        <v>17.03640038096123</v>
      </c>
      <c r="G74" s="10">
        <v>17.173741283164055</v>
      </c>
      <c r="H74" s="10">
        <f>15980/$H$70*100</f>
        <v>18.202528761817973</v>
      </c>
      <c r="I74" s="10">
        <f>15975/I70*100</f>
        <v>18.432834098723834</v>
      </c>
      <c r="J74" s="10">
        <v>18.8</v>
      </c>
      <c r="K74" s="54">
        <f>11120/$K$70*100</f>
        <v>12.807961207541954</v>
      </c>
      <c r="L74" s="18">
        <f>12180/$L$70*100</f>
        <v>14.157851912123679</v>
      </c>
      <c r="M74" s="7">
        <v>13.5</v>
      </c>
      <c r="N74" s="10">
        <f>(1735+10325)/N70*100</f>
        <v>13.742963283724958</v>
      </c>
      <c r="O74" s="10">
        <f>(10536+2161)/$O$70*100</f>
        <v>13.373850577739391</v>
      </c>
    </row>
    <row r="75" spans="1:15" s="33" customFormat="1" ht="16.5">
      <c r="A75" s="60" t="s">
        <v>12</v>
      </c>
      <c r="B75" s="10">
        <v>31.7</v>
      </c>
      <c r="C75" s="10">
        <v>34.2</v>
      </c>
      <c r="D75" s="10">
        <v>19.05101806259603</v>
      </c>
      <c r="E75" s="10">
        <v>15.5</v>
      </c>
      <c r="F75" s="10">
        <v>16.030569815791306</v>
      </c>
      <c r="G75" s="10">
        <v>16.571435114678636</v>
      </c>
      <c r="H75" s="10">
        <f>13552/$H$70*100</f>
        <v>15.436837908645632</v>
      </c>
      <c r="I75" s="10">
        <f>13819/I70*100</f>
        <v>15.945122654789653</v>
      </c>
      <c r="J75" s="10">
        <v>20.9</v>
      </c>
      <c r="K75" s="54">
        <f>8637/$K$70*100</f>
        <v>9.948054042224808</v>
      </c>
      <c r="L75" s="18">
        <f>15459/$L$70*100</f>
        <v>17.969313030338256</v>
      </c>
      <c r="M75" s="7">
        <v>18.1</v>
      </c>
      <c r="N75" s="10">
        <f>(2311+12303)/N70*100</f>
        <v>16.65337192606605</v>
      </c>
      <c r="O75" s="10">
        <f>(13126+2593)/$O$70*100</f>
        <v>16.556947092343506</v>
      </c>
    </row>
    <row r="76" spans="1:15" s="33" customFormat="1" ht="16.5">
      <c r="A76" s="60" t="s">
        <v>13</v>
      </c>
      <c r="B76" s="10">
        <v>1.3</v>
      </c>
      <c r="C76" s="10">
        <v>1.0973189618273085</v>
      </c>
      <c r="D76" s="10">
        <v>1.1166628355735146</v>
      </c>
      <c r="E76" s="10">
        <v>0.9721473915997095</v>
      </c>
      <c r="F76" s="10">
        <v>0.9210434621013264</v>
      </c>
      <c r="G76" s="10">
        <v>0.8175790956246922</v>
      </c>
      <c r="H76" s="10">
        <f>754/$H$70*100</f>
        <v>0.8588677525914113</v>
      </c>
      <c r="I76" s="10" t="s">
        <v>0</v>
      </c>
      <c r="J76" s="10" t="s">
        <v>0</v>
      </c>
      <c r="K76" s="10" t="s">
        <v>0</v>
      </c>
      <c r="L76" s="7" t="s">
        <v>0</v>
      </c>
      <c r="M76" s="7" t="s">
        <v>0</v>
      </c>
      <c r="N76" s="7" t="s">
        <v>0</v>
      </c>
      <c r="O76" s="7" t="s">
        <v>0</v>
      </c>
    </row>
    <row r="77" spans="1:15" s="33" customFormat="1" ht="18.75" thickBot="1">
      <c r="A77" s="3" t="s">
        <v>36</v>
      </c>
      <c r="B77" s="16" t="s">
        <v>0</v>
      </c>
      <c r="C77" s="16" t="s">
        <v>0</v>
      </c>
      <c r="D77" s="16" t="s">
        <v>0</v>
      </c>
      <c r="E77" s="16" t="s">
        <v>0</v>
      </c>
      <c r="F77" s="16" t="s">
        <v>0</v>
      </c>
      <c r="G77" s="16" t="s">
        <v>0</v>
      </c>
      <c r="H77" s="16" t="s">
        <v>0</v>
      </c>
      <c r="I77" s="16">
        <v>663</v>
      </c>
      <c r="J77" s="16">
        <v>32921</v>
      </c>
      <c r="K77" s="16" t="s">
        <v>0</v>
      </c>
      <c r="L77" s="20" t="s">
        <v>0</v>
      </c>
      <c r="M77" s="20" t="s">
        <v>0</v>
      </c>
      <c r="N77" s="20" t="s">
        <v>0</v>
      </c>
      <c r="O77" s="20" t="s">
        <v>0</v>
      </c>
    </row>
    <row r="78" spans="1:12" s="33" customFormat="1" ht="16.5" customHeight="1">
      <c r="A78" s="72" t="s">
        <v>39</v>
      </c>
      <c r="B78" s="73"/>
      <c r="C78" s="73"/>
      <c r="D78" s="73"/>
      <c r="E78" s="73"/>
      <c r="F78" s="73"/>
      <c r="G78" s="51"/>
      <c r="H78" s="51"/>
      <c r="I78" s="25"/>
      <c r="J78" s="23"/>
      <c r="K78" s="8"/>
      <c r="L78" s="22"/>
    </row>
    <row r="79" spans="7:12" s="33" customFormat="1" ht="12" customHeight="1">
      <c r="G79" s="24"/>
      <c r="H79" s="24"/>
      <c r="I79" s="24"/>
      <c r="J79" s="23"/>
      <c r="K79" s="8"/>
      <c r="L79" s="22"/>
    </row>
    <row r="80" spans="1:10" ht="26.25" customHeight="1">
      <c r="A80" s="74" t="s">
        <v>37</v>
      </c>
      <c r="B80" s="74"/>
      <c r="C80" s="74"/>
      <c r="D80" s="74"/>
      <c r="E80" s="74"/>
      <c r="F80" s="74"/>
      <c r="G80" s="62"/>
      <c r="H80" s="62"/>
      <c r="I80" s="31"/>
      <c r="J80" s="33"/>
    </row>
    <row r="81" spans="1:10" ht="17.25" customHeight="1">
      <c r="A81" s="65" t="s">
        <v>4</v>
      </c>
      <c r="B81" s="65"/>
      <c r="C81" s="65"/>
      <c r="D81" s="65"/>
      <c r="E81" s="65"/>
      <c r="F81" s="65"/>
      <c r="G81" s="62"/>
      <c r="H81" s="62"/>
      <c r="I81" s="31"/>
      <c r="J81" s="31"/>
    </row>
    <row r="82" spans="1:10" ht="12.75">
      <c r="A82" s="66"/>
      <c r="B82" s="62"/>
      <c r="C82" s="62"/>
      <c r="D82" s="62"/>
      <c r="E82" s="62"/>
      <c r="F82" s="62"/>
      <c r="G82" s="62"/>
      <c r="H82" s="62"/>
      <c r="I82" s="27"/>
      <c r="J82" s="27"/>
    </row>
    <row r="83" spans="1:12" ht="12.75">
      <c r="A83" s="67" t="s">
        <v>6</v>
      </c>
      <c r="B83" s="62"/>
      <c r="C83" s="62"/>
      <c r="D83" s="62"/>
      <c r="E83" s="62"/>
      <c r="F83" s="62"/>
      <c r="G83" s="62"/>
      <c r="H83" s="62"/>
      <c r="I83" s="28"/>
      <c r="J83" s="29"/>
      <c r="K83" s="2"/>
      <c r="L83" s="1"/>
    </row>
    <row r="84" spans="1:12" ht="73.5" customHeight="1">
      <c r="A84" s="63" t="s">
        <v>42</v>
      </c>
      <c r="B84" s="64"/>
      <c r="C84" s="64"/>
      <c r="D84" s="64"/>
      <c r="E84" s="64"/>
      <c r="F84" s="64"/>
      <c r="G84" s="62"/>
      <c r="H84" s="62"/>
      <c r="I84" s="25"/>
      <c r="J84" s="29"/>
      <c r="K84" s="2"/>
      <c r="L84" s="1"/>
    </row>
    <row r="85" spans="1:12" ht="12.75" customHeight="1">
      <c r="A85" s="66" t="s">
        <v>1</v>
      </c>
      <c r="B85" s="66"/>
      <c r="C85" s="66"/>
      <c r="D85" s="66"/>
      <c r="E85" s="66"/>
      <c r="F85" s="66"/>
      <c r="G85" s="62"/>
      <c r="H85" s="62"/>
      <c r="I85" s="25"/>
      <c r="J85" s="29"/>
      <c r="K85" s="2"/>
      <c r="L85" s="1"/>
    </row>
    <row r="86" spans="1:12" ht="12.75">
      <c r="A86" s="66" t="s">
        <v>38</v>
      </c>
      <c r="B86" s="66"/>
      <c r="C86" s="66"/>
      <c r="D86" s="66"/>
      <c r="E86" s="66"/>
      <c r="F86" s="66"/>
      <c r="G86" s="62"/>
      <c r="H86" s="62"/>
      <c r="I86" s="25"/>
      <c r="J86" s="29"/>
      <c r="K86" s="2"/>
      <c r="L86" s="1"/>
    </row>
    <row r="87" spans="1:12" ht="12.75">
      <c r="A87" s="66"/>
      <c r="B87" s="62"/>
      <c r="C87" s="62"/>
      <c r="D87" s="62"/>
      <c r="E87" s="62"/>
      <c r="F87" s="62"/>
      <c r="G87" s="62"/>
      <c r="H87" s="62"/>
      <c r="I87" s="30"/>
      <c r="J87" s="29"/>
      <c r="K87" s="2"/>
      <c r="L87" s="1"/>
    </row>
    <row r="88" spans="1:12" ht="12.75">
      <c r="A88" s="42" t="s">
        <v>5</v>
      </c>
      <c r="B88" s="49"/>
      <c r="C88" s="49"/>
      <c r="D88" s="49"/>
      <c r="E88" s="49"/>
      <c r="F88" s="49"/>
      <c r="G88" s="30"/>
      <c r="H88" s="30"/>
      <c r="I88" s="30"/>
      <c r="J88" s="29"/>
      <c r="K88" s="2"/>
      <c r="L88" s="1"/>
    </row>
    <row r="89" spans="1:11" s="39" customFormat="1" ht="24.75" customHeight="1">
      <c r="A89" s="61" t="s">
        <v>34</v>
      </c>
      <c r="B89" s="68"/>
      <c r="C89" s="68"/>
      <c r="D89" s="68"/>
      <c r="E89" s="68"/>
      <c r="F89" s="68"/>
      <c r="G89" s="62"/>
      <c r="H89" s="62"/>
      <c r="I89" s="36"/>
      <c r="J89" s="37"/>
      <c r="K89" s="38"/>
    </row>
    <row r="90" spans="1:10" s="59" customFormat="1" ht="25.5" customHeight="1">
      <c r="A90" s="61" t="s">
        <v>41</v>
      </c>
      <c r="B90" s="61"/>
      <c r="C90" s="61"/>
      <c r="D90" s="61"/>
      <c r="E90" s="61"/>
      <c r="F90" s="61"/>
      <c r="G90" s="62"/>
      <c r="H90" s="62"/>
      <c r="I90" s="32"/>
      <c r="J90" s="33"/>
    </row>
    <row r="91" spans="1:10" s="59" customFormat="1" ht="12.75">
      <c r="A91" s="57"/>
      <c r="B91" s="32"/>
      <c r="C91" s="32"/>
      <c r="D91" s="32"/>
      <c r="E91" s="32"/>
      <c r="F91" s="32"/>
      <c r="G91" s="26"/>
      <c r="H91" s="26"/>
      <c r="I91" s="26"/>
      <c r="J91" s="26"/>
    </row>
    <row r="92" spans="2:10" ht="12.75">
      <c r="B92" s="26"/>
      <c r="C92" s="26"/>
      <c r="D92" s="26"/>
      <c r="E92" s="26"/>
      <c r="F92" s="26"/>
      <c r="G92" s="32"/>
      <c r="H92" s="32"/>
      <c r="I92" s="32"/>
      <c r="J92" s="32"/>
    </row>
    <row r="93" spans="7:10" ht="12.75">
      <c r="G93" s="26"/>
      <c r="H93" s="26"/>
      <c r="I93" s="26"/>
      <c r="J93" s="26"/>
    </row>
  </sheetData>
  <mergeCells count="12">
    <mergeCell ref="A1:O1"/>
    <mergeCell ref="A78:F78"/>
    <mergeCell ref="A80:H80"/>
    <mergeCell ref="A90:H90"/>
    <mergeCell ref="A84:H84"/>
    <mergeCell ref="A81:H81"/>
    <mergeCell ref="A82:H82"/>
    <mergeCell ref="A83:H83"/>
    <mergeCell ref="A85:H85"/>
    <mergeCell ref="A86:H86"/>
    <mergeCell ref="A87:H87"/>
    <mergeCell ref="A89:H89"/>
  </mergeCells>
  <printOptions/>
  <pageMargins left="0.75" right="0.75" top="1" bottom="0.75" header="0.5" footer="0.5"/>
  <pageSetup fitToHeight="3" fitToWidth="1" horizontalDpi="300" verticalDpi="300" orientation="portrait"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dmegret</cp:lastModifiedBy>
  <cp:lastPrinted>2004-12-10T16:57:55Z</cp:lastPrinted>
  <dcterms:created xsi:type="dcterms:W3CDTF">1999-04-27T13:03:34Z</dcterms:created>
  <dcterms:modified xsi:type="dcterms:W3CDTF">2005-01-03T20:18:00Z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1006295697</vt:i4>
  </property>
  <property fmtid="{D5CDD505-2E9C-101B-9397-08002B2CF9AE}" pid="3" name="_EmailSubject">
    <vt:lpwstr>First batch of updated tables</vt:lpwstr>
  </property>
  <property fmtid="{D5CDD505-2E9C-101B-9397-08002B2CF9AE}" pid="4" name="_AuthorEmail">
    <vt:lpwstr>MallettW@battelle.org</vt:lpwstr>
  </property>
  <property fmtid="{D5CDD505-2E9C-101B-9397-08002B2CF9AE}" pid="5" name="_AuthorEmailDisplayName">
    <vt:lpwstr>Mallett, William J</vt:lpwstr>
  </property>
  <property fmtid="{D5CDD505-2E9C-101B-9397-08002B2CF9AE}" pid="6" name="_PreviousAdHocReviewCycleID">
    <vt:i4>-691072882</vt:i4>
  </property>
  <property fmtid="{D5CDD505-2E9C-101B-9397-08002B2CF9AE}" pid="7" name="_ReviewingToolsShownOnce">
    <vt:lpwstr/>
  </property>
</Properties>
</file>