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activeTab="0"/>
  </bookViews>
  <sheets>
    <sheet name="2-32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HTML_CodePage" hidden="1">1252</definedName>
    <definedName name="HTML_Control" hidden="1">{"'2-32'!$A$1:$K$88"}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tasks\nts2000\nts2000\HTML\Ch2_web\2-32.htm"</definedName>
    <definedName name="HTML_Title" hidden="1">"Table 2-32"</definedName>
    <definedName name="_xlnm.Print_Area" localSheetId="0">'2-32'!$A$1:$L$72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<sst xmlns="http://schemas.openxmlformats.org/spreadsheetml/2006/main" count="90" uniqueCount="49">
  <si>
    <r>
      <t>Table 2-32:  Transit Safety Data by Mode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for All Reported Accidents</t>
    </r>
    <r>
      <rPr>
        <b/>
        <vertAlign val="superscript"/>
        <sz val="12"/>
        <rFont val="Arial"/>
        <family val="2"/>
      </rPr>
      <t>b</t>
    </r>
  </si>
  <si>
    <t>Light rail</t>
  </si>
  <si>
    <t>Heavy rail</t>
  </si>
  <si>
    <t>Commuter rail</t>
  </si>
  <si>
    <t>Demand response</t>
  </si>
  <si>
    <t>Van pool</t>
  </si>
  <si>
    <t>Automated guideway</t>
  </si>
  <si>
    <t>Demand responsive</t>
  </si>
  <si>
    <r>
      <t>b</t>
    </r>
    <r>
      <rPr>
        <sz val="9"/>
        <rFont val="Arial"/>
        <family val="2"/>
      </rPr>
      <t xml:space="preserve">  Accidents include collisions with vehicles, objects,  people (except suicides), and derailments/vehicles going off road.</t>
    </r>
  </si>
  <si>
    <r>
      <t>c</t>
    </r>
    <r>
      <rPr>
        <sz val="9"/>
        <rFont val="Arial"/>
        <family val="2"/>
      </rPr>
      <t xml:space="preserve">  Motor bus also includes trolley bus.</t>
    </r>
  </si>
  <si>
    <r>
      <t xml:space="preserve">KEY: </t>
    </r>
    <r>
      <rPr>
        <sz val="9"/>
        <rFont val="Arial"/>
        <family val="2"/>
      </rPr>
      <t>R = revised.</t>
    </r>
  </si>
  <si>
    <r>
      <t xml:space="preserve">a </t>
    </r>
    <r>
      <rPr>
        <sz val="9"/>
        <rFont val="Arial"/>
        <family val="2"/>
      </rPr>
      <t xml:space="preserve"> Accident statistics for cable car, inclined plane, jitney, and ferry boat are not available.  The number of incidents, fatalities, and injuries for these modes appear in the footnotes for table 2-33.</t>
    </r>
  </si>
  <si>
    <t>2000</t>
  </si>
  <si>
    <r>
      <t xml:space="preserve">Prior to the 2000 edition, </t>
    </r>
    <r>
      <rPr>
        <i/>
        <sz val="9"/>
        <rFont val="Arial"/>
        <family val="2"/>
      </rPr>
      <t xml:space="preserve">Transit Safety and Security Statistics and Analysis Report </t>
    </r>
    <r>
      <rPr>
        <sz val="9"/>
        <rFont val="Arial"/>
        <family val="2"/>
      </rPr>
      <t xml:space="preserve">was entitled </t>
    </r>
    <r>
      <rPr>
        <i/>
        <sz val="9"/>
        <rFont val="Arial"/>
        <family val="2"/>
      </rPr>
      <t>Safety Management Information Statistics</t>
    </r>
    <r>
      <rPr>
        <sz val="9"/>
        <rFont val="Arial"/>
        <family val="2"/>
      </rPr>
      <t xml:space="preserve"> (SAMIS) annual report.</t>
    </r>
  </si>
  <si>
    <r>
      <t xml:space="preserve">d  </t>
    </r>
    <r>
      <rPr>
        <sz val="9"/>
        <rFont val="Arial"/>
        <family val="2"/>
      </rPr>
      <t>Rates are based on total incidents including accidents and were calculated by dividing the number of fatalities, injuries, and incidents in this table by the number of vehicle-miles.</t>
    </r>
  </si>
  <si>
    <r>
      <t xml:space="preserve">Data are provided only for transit systems that furnished safety data for inclusion in the U.S. Department of Transportation, Federal Transit Administration </t>
    </r>
    <r>
      <rPr>
        <i/>
        <sz val="9"/>
        <rFont val="Arial"/>
        <family val="2"/>
      </rPr>
      <t>Transit Safety and Security Statistics and Analysis</t>
    </r>
    <r>
      <rPr>
        <sz val="9"/>
        <rFont val="Arial"/>
        <family val="2"/>
      </rPr>
      <t xml:space="preserve"> annual reports.  Data covers only direct-operated urban transit systems. Vehicle-miles for all transit systems including nonurban and purchased can be found in the vehicle-miles table in chapter 1.</t>
    </r>
  </si>
  <si>
    <t>NOTES</t>
  </si>
  <si>
    <r>
      <t xml:space="preserve">U.S. Department of Transportation, Federal Transit Administration, </t>
    </r>
    <r>
      <rPr>
        <i/>
        <sz val="9"/>
        <rFont val="Arial"/>
        <family val="2"/>
      </rPr>
      <t>2000 Transit Safety and Security Statistics and Analysis Report</t>
    </r>
    <r>
      <rPr>
        <sz val="9"/>
        <rFont val="Arial"/>
        <family val="2"/>
      </rPr>
      <t xml:space="preserve"> (Cambridge, MA: 2002). </t>
    </r>
  </si>
  <si>
    <t>SOURCE</t>
  </si>
  <si>
    <t>Fatalities, total</t>
  </si>
  <si>
    <t>Injured persons, total</t>
  </si>
  <si>
    <t>Accidents, total</t>
  </si>
  <si>
    <t>Vehicle-miles (millions), total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</si>
  <si>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</si>
  <si>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</si>
  <si>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</si>
  <si>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</si>
  <si>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</si>
  <si>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</si>
  <si>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</si>
  <si>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</si>
  <si>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</si>
  <si>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</si>
  <si>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Fatalities, all modes</t>
  </si>
  <si>
    <t>Injured persons, all modes</t>
  </si>
  <si>
    <t>Accidents, all modes</t>
  </si>
  <si>
    <r>
      <t>Motor bus</t>
    </r>
    <r>
      <rPr>
        <vertAlign val="superscript"/>
        <sz val="11"/>
        <rFont val="Arial"/>
        <family val="2"/>
      </rPr>
      <t>c</t>
    </r>
  </si>
  <si>
    <r>
      <t>R</t>
    </r>
    <r>
      <rPr>
        <b/>
        <sz val="11"/>
        <rFont val="Arial"/>
        <family val="2"/>
      </rPr>
      <t>21,341</t>
    </r>
  </si>
  <si>
    <r>
      <t>R</t>
    </r>
    <r>
      <rPr>
        <sz val="11"/>
        <rFont val="Arial"/>
        <family val="2"/>
      </rPr>
      <t>20,136</t>
    </r>
  </si>
  <si>
    <r>
      <t>R</t>
    </r>
    <r>
      <rPr>
        <b/>
        <sz val="11"/>
        <rFont val="Arial"/>
        <family val="2"/>
      </rPr>
      <t>24,842</t>
    </r>
  </si>
  <si>
    <r>
      <t>R</t>
    </r>
    <r>
      <rPr>
        <sz val="11"/>
        <rFont val="Arial"/>
        <family val="2"/>
      </rPr>
      <t>22,991</t>
    </r>
  </si>
  <si>
    <r>
      <t>R</t>
    </r>
    <r>
      <rPr>
        <sz val="11"/>
        <rFont val="Arial"/>
        <family val="2"/>
      </rPr>
      <t>278</t>
    </r>
  </si>
  <si>
    <r>
      <t>R</t>
    </r>
    <r>
      <rPr>
        <sz val="11"/>
        <rFont val="Arial"/>
        <family val="2"/>
      </rPr>
      <t>162</t>
    </r>
  </si>
  <si>
    <r>
      <t>R</t>
    </r>
    <r>
      <rPr>
        <sz val="11"/>
        <rFont val="Arial"/>
        <family val="2"/>
      </rPr>
      <t>2</t>
    </r>
  </si>
  <si>
    <r>
      <t>Rates per 100 million vehicle-miles</t>
    </r>
    <r>
      <rPr>
        <b/>
        <vertAlign val="superscript"/>
        <sz val="11"/>
        <rFont val="Arial"/>
        <family val="2"/>
      </rPr>
      <t>d</t>
    </r>
  </si>
  <si>
    <r>
      <t>R</t>
    </r>
    <r>
      <rPr>
        <b/>
        <sz val="11"/>
        <rFont val="Arial"/>
        <family val="2"/>
      </rPr>
      <t>919</t>
    </r>
  </si>
  <si>
    <r>
      <t>R</t>
    </r>
    <r>
      <rPr>
        <sz val="11"/>
        <rFont val="Arial"/>
        <family val="2"/>
      </rPr>
      <t>50</t>
    </r>
  </si>
  <si>
    <r>
      <t>R</t>
    </r>
    <r>
      <rPr>
        <sz val="11"/>
        <rFont val="Arial"/>
        <family val="2"/>
      </rPr>
      <t>75</t>
    </r>
  </si>
  <si>
    <r>
      <t>R</t>
    </r>
    <r>
      <rPr>
        <sz val="11"/>
        <rFont val="Arial"/>
        <family val="2"/>
      </rPr>
      <t>139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</si>
</sst>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_)"/>
    <numFmt numFmtId="166" formatCode="#,##0.0"/>
    <numFmt numFmtId="167" formatCode="###0.00_)"/>
    <numFmt numFmtId="168" formatCode="0.0_W"/>
    <numFmt numFmtId="169" formatCode="#,##0.0_);\(#,##0.0\)"/>
    <numFmt numFmtId="170" formatCode="&quot;$&quot;#,##0\ ;\(&quot;$&quot;#,##0\)"/>
    <numFmt numFmtId="171" formatCode="#,##0.000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7" fontId="8" fillId="0" borderId="1" applyNumberFormat="0" applyFill="0">
      <alignment horizontal="right"/>
      <protection/>
    </xf>
    <xf numFmtId="168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7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 applyProtection="1">
      <alignment/>
      <protection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19" fillId="0" borderId="0" xfId="0" applyNumberFormat="1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0" fontId="19" fillId="0" borderId="0" xfId="0" applyNumberFormat="1" applyFont="1" applyFill="1" applyAlignment="1">
      <alignment horizontal="left" vertical="center" wrapText="1"/>
    </xf>
    <xf numFmtId="0" fontId="20" fillId="0" borderId="0" xfId="0" applyNumberFormat="1" applyFont="1" applyFill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0" fontId="19" fillId="0" borderId="0" xfId="0" applyNumberFormat="1" applyFont="1" applyFill="1" applyAlignment="1">
      <alignment horizontal="left" wrapText="1"/>
    </xf>
    <xf numFmtId="0" fontId="20" fillId="0" borderId="0" xfId="0" applyNumberFormat="1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22" fillId="0" borderId="6" xfId="0" applyNumberFormat="1" applyFont="1" applyFill="1" applyBorder="1" applyAlignment="1">
      <alignment horizontal="center"/>
    </xf>
    <xf numFmtId="49" fontId="22" fillId="0" borderId="6" xfId="0" applyNumberFormat="1" applyFont="1" applyFill="1" applyBorder="1" applyAlignment="1">
      <alignment horizontal="center"/>
    </xf>
    <xf numFmtId="49" fontId="22" fillId="0" borderId="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2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top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64" fontId="23" fillId="0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166" fontId="22" fillId="0" borderId="0" xfId="0" applyNumberFormat="1" applyFont="1" applyFill="1" applyBorder="1" applyAlignment="1">
      <alignment horizontal="right"/>
    </xf>
    <xf numFmtId="166" fontId="22" fillId="0" borderId="0" xfId="0" applyNumberFormat="1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top"/>
    </xf>
    <xf numFmtId="3" fontId="24" fillId="0" borderId="0" xfId="0" applyNumberFormat="1" applyFont="1" applyFill="1" applyBorder="1" applyAlignment="1">
      <alignment horizontal="right" vertical="top"/>
    </xf>
    <xf numFmtId="0" fontId="23" fillId="0" borderId="7" xfId="0" applyFont="1" applyFill="1" applyBorder="1" applyAlignment="1">
      <alignment/>
    </xf>
    <xf numFmtId="3" fontId="23" fillId="0" borderId="7" xfId="0" applyNumberFormat="1" applyFont="1" applyFill="1" applyBorder="1" applyAlignment="1">
      <alignment horizontal="right"/>
    </xf>
    <xf numFmtId="3" fontId="24" fillId="0" borderId="7" xfId="0" applyNumberFormat="1" applyFont="1" applyFill="1" applyBorder="1" applyAlignment="1">
      <alignment horizontal="right" vertical="top"/>
    </xf>
    <xf numFmtId="3" fontId="23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Border="1" applyAlignment="1">
      <alignment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100" workbookViewId="0" topLeftCell="A1">
      <selection activeCell="A1" sqref="A1:L1"/>
    </sheetView>
  </sheetViews>
  <sheetFormatPr defaultColWidth="9.140625" defaultRowHeight="12.75"/>
  <cols>
    <col min="1" max="1" width="33.7109375" style="1" customWidth="1"/>
    <col min="2" max="10" width="9.7109375" style="1" customWidth="1"/>
    <col min="11" max="11" width="9.7109375" style="12" customWidth="1"/>
    <col min="12" max="12" width="9.7109375" style="1" customWidth="1"/>
    <col min="13" max="16384" width="9.140625" style="1" customWidth="1"/>
  </cols>
  <sheetData>
    <row r="1" spans="1:12" s="3" customFormat="1" ht="17.2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s="26" customFormat="1" ht="15">
      <c r="A2" s="23"/>
      <c r="B2" s="24" t="s">
        <v>23</v>
      </c>
      <c r="C2" s="24" t="s">
        <v>24</v>
      </c>
      <c r="D2" s="24" t="s">
        <v>25</v>
      </c>
      <c r="E2" s="24" t="s">
        <v>26</v>
      </c>
      <c r="F2" s="24" t="s">
        <v>27</v>
      </c>
      <c r="G2" s="24" t="s">
        <v>28</v>
      </c>
      <c r="H2" s="24" t="s">
        <v>29</v>
      </c>
      <c r="I2" s="24" t="s">
        <v>30</v>
      </c>
      <c r="J2" s="24" t="s">
        <v>31</v>
      </c>
      <c r="K2" s="25" t="s">
        <v>32</v>
      </c>
      <c r="L2" s="25" t="s">
        <v>12</v>
      </c>
    </row>
    <row r="3" spans="1:12" s="26" customFormat="1" ht="15">
      <c r="A3" s="27" t="s">
        <v>19</v>
      </c>
      <c r="B3" s="28">
        <f aca="true" t="shared" si="0" ref="B3:L3">+SUM(B4:B10)</f>
        <v>212</v>
      </c>
      <c r="C3" s="28">
        <f t="shared" si="0"/>
        <v>215</v>
      </c>
      <c r="D3" s="28">
        <f t="shared" si="0"/>
        <v>173</v>
      </c>
      <c r="E3" s="28">
        <f t="shared" si="0"/>
        <v>191</v>
      </c>
      <c r="F3" s="28">
        <f t="shared" si="0"/>
        <v>225</v>
      </c>
      <c r="G3" s="28">
        <f t="shared" si="0"/>
        <v>179</v>
      </c>
      <c r="H3" s="28">
        <f t="shared" si="0"/>
        <v>152</v>
      </c>
      <c r="I3" s="28">
        <f t="shared" si="0"/>
        <v>185</v>
      </c>
      <c r="J3" s="28">
        <f t="shared" si="0"/>
        <v>192</v>
      </c>
      <c r="K3" s="29">
        <f t="shared" si="0"/>
        <v>190</v>
      </c>
      <c r="L3" s="28">
        <f t="shared" si="0"/>
        <v>183</v>
      </c>
    </row>
    <row r="4" spans="1:12" s="26" customFormat="1" ht="16.5">
      <c r="A4" s="30" t="s">
        <v>36</v>
      </c>
      <c r="B4" s="31">
        <f>26+11+10+22+3+16+4</f>
        <v>92</v>
      </c>
      <c r="C4" s="31">
        <f>25+6+14+10+2+25-2</f>
        <v>80</v>
      </c>
      <c r="D4" s="31">
        <f>26+21+5+28+11+2-2</f>
        <v>91</v>
      </c>
      <c r="E4" s="31">
        <f>25+18+4+1+21+9+1</f>
        <v>79</v>
      </c>
      <c r="F4" s="31">
        <f>16+27+4+1+24+19+6-7</f>
        <v>90</v>
      </c>
      <c r="G4" s="31">
        <v>69</v>
      </c>
      <c r="H4" s="31">
        <f>17+21+5+4+16+16+4+-1</f>
        <v>82</v>
      </c>
      <c r="I4" s="31">
        <f>6+3+1+2+6+44+28+11-1</f>
        <v>100</v>
      </c>
      <c r="J4" s="31">
        <f>1+5+2+1+40+22+21-2</f>
        <v>90</v>
      </c>
      <c r="K4" s="32">
        <f>2+3+2+2+46+22+14-1+1</f>
        <v>91</v>
      </c>
      <c r="L4" s="31">
        <f>6+2+1+2+1+43+19+8-1+1</f>
        <v>82</v>
      </c>
    </row>
    <row r="5" spans="1:12" s="26" customFormat="1" ht="14.25">
      <c r="A5" s="33" t="s">
        <v>1</v>
      </c>
      <c r="B5" s="31">
        <v>5</v>
      </c>
      <c r="C5" s="31">
        <v>11</v>
      </c>
      <c r="D5" s="31">
        <v>6</v>
      </c>
      <c r="E5" s="31">
        <v>14</v>
      </c>
      <c r="F5" s="31">
        <v>10</v>
      </c>
      <c r="G5" s="31">
        <v>10</v>
      </c>
      <c r="H5" s="31">
        <v>5</v>
      </c>
      <c r="I5" s="31">
        <v>3</v>
      </c>
      <c r="J5" s="31">
        <f>22-8</f>
        <v>14</v>
      </c>
      <c r="K5" s="32">
        <f>2+3+12-4</f>
        <v>13</v>
      </c>
      <c r="L5" s="31">
        <f>6+24-1-7</f>
        <v>22</v>
      </c>
    </row>
    <row r="6" spans="1:12" s="26" customFormat="1" ht="14.25">
      <c r="A6" s="33" t="s">
        <v>2</v>
      </c>
      <c r="B6" s="31">
        <v>51</v>
      </c>
      <c r="C6" s="31">
        <v>59</v>
      </c>
      <c r="D6" s="31">
        <f>75-42</f>
        <v>33</v>
      </c>
      <c r="E6" s="31">
        <v>37</v>
      </c>
      <c r="F6" s="31">
        <v>41</v>
      </c>
      <c r="G6" s="31">
        <v>43</v>
      </c>
      <c r="H6" s="31">
        <f>63-31</f>
        <v>32</v>
      </c>
      <c r="I6" s="31">
        <f>56+3+5-34-2</f>
        <v>28</v>
      </c>
      <c r="J6" s="31">
        <f>31-15+10-8</f>
        <v>18</v>
      </c>
      <c r="K6" s="32">
        <f>55+3-34-3</f>
        <v>21</v>
      </c>
      <c r="L6" s="31">
        <f>50+1+7-34-5</f>
        <v>19</v>
      </c>
    </row>
    <row r="7" spans="1:12" s="26" customFormat="1" ht="14.25">
      <c r="A7" s="33" t="s">
        <v>3</v>
      </c>
      <c r="B7" s="31">
        <v>63</v>
      </c>
      <c r="C7" s="31">
        <f>5+6+1+73-22</f>
        <v>63</v>
      </c>
      <c r="D7" s="31">
        <v>43</v>
      </c>
      <c r="E7" s="31">
        <v>59</v>
      </c>
      <c r="F7" s="31">
        <v>82</v>
      </c>
      <c r="G7" s="31">
        <v>56</v>
      </c>
      <c r="H7" s="31">
        <f>50-23+3</f>
        <v>30</v>
      </c>
      <c r="I7" s="31">
        <f>2+69-19</f>
        <v>52</v>
      </c>
      <c r="J7" s="31">
        <f>12+2+79-26</f>
        <v>67</v>
      </c>
      <c r="K7" s="32">
        <f>2+92-30</f>
        <v>64</v>
      </c>
      <c r="L7" s="31">
        <f>85-29</f>
        <v>56</v>
      </c>
    </row>
    <row r="8" spans="1:12" s="26" customFormat="1" ht="14.25">
      <c r="A8" s="33" t="s">
        <v>7</v>
      </c>
      <c r="B8" s="31">
        <v>0</v>
      </c>
      <c r="C8" s="31">
        <v>2</v>
      </c>
      <c r="D8" s="31">
        <v>0</v>
      </c>
      <c r="E8" s="31">
        <v>2</v>
      </c>
      <c r="F8" s="31">
        <v>2</v>
      </c>
      <c r="G8" s="31">
        <v>1</v>
      </c>
      <c r="H8" s="31">
        <v>3</v>
      </c>
      <c r="I8" s="31">
        <f>1+1</f>
        <v>2</v>
      </c>
      <c r="J8" s="31">
        <v>2</v>
      </c>
      <c r="K8" s="32">
        <v>1</v>
      </c>
      <c r="L8" s="31">
        <f>1+3</f>
        <v>4</v>
      </c>
    </row>
    <row r="9" spans="1:12" s="26" customFormat="1" ht="14.25">
      <c r="A9" s="33" t="s">
        <v>5</v>
      </c>
      <c r="B9" s="31">
        <v>0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2">
        <v>0</v>
      </c>
      <c r="L9" s="31">
        <v>0</v>
      </c>
    </row>
    <row r="10" spans="1:12" s="33" customFormat="1" ht="14.25">
      <c r="A10" s="33" t="s">
        <v>6</v>
      </c>
      <c r="B10" s="31">
        <v>1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1</v>
      </c>
      <c r="K10" s="32">
        <v>0</v>
      </c>
      <c r="L10" s="31">
        <v>0</v>
      </c>
    </row>
    <row r="11" spans="1:12" s="26" customFormat="1" ht="17.25">
      <c r="A11" s="34" t="s">
        <v>20</v>
      </c>
      <c r="B11" s="28">
        <f aca="true" t="shared" si="1" ref="B11:I11">+SUM(B12:B18)</f>
        <v>20023</v>
      </c>
      <c r="C11" s="28">
        <f t="shared" si="1"/>
        <v>20594</v>
      </c>
      <c r="D11" s="28">
        <f t="shared" si="1"/>
        <v>21653</v>
      </c>
      <c r="E11" s="28">
        <f t="shared" si="1"/>
        <v>22081</v>
      </c>
      <c r="F11" s="28">
        <f t="shared" si="1"/>
        <v>20939</v>
      </c>
      <c r="G11" s="28">
        <f t="shared" si="1"/>
        <v>22159</v>
      </c>
      <c r="H11" s="28">
        <f t="shared" si="1"/>
        <v>22950</v>
      </c>
      <c r="I11" s="28">
        <f t="shared" si="1"/>
        <v>21452</v>
      </c>
      <c r="J11" s="35" t="s">
        <v>37</v>
      </c>
      <c r="K11" s="29">
        <f>+SUM(K12:K18)</f>
        <v>21727</v>
      </c>
      <c r="L11" s="28">
        <f>+SUM(L12:L18)</f>
        <v>22140</v>
      </c>
    </row>
    <row r="12" spans="1:12" s="26" customFormat="1" ht="16.5">
      <c r="A12" s="30" t="s">
        <v>36</v>
      </c>
      <c r="B12" s="31">
        <f>10496+1286+4928+323+133+492+310+77+783+24+9+19-4</f>
        <v>18876</v>
      </c>
      <c r="C12" s="31">
        <f>10950+1325+4570+486+78+201+918+87+382-1+20</f>
        <v>19016</v>
      </c>
      <c r="D12" s="31">
        <f>13028+4406+1430+374+232+65+666+261+62-2-1+27+6+2</f>
        <v>20556</v>
      </c>
      <c r="E12" s="31">
        <f>12973+4151+1679+703+316+53+636+228+63-1+34+22+5</f>
        <v>20862</v>
      </c>
      <c r="F12" s="31">
        <f>11548+4316+1370+717+361+37+820+313+57-4+93+23+12</f>
        <v>19663</v>
      </c>
      <c r="G12" s="31">
        <f>8154+3209+1341+1596+778+230+2975+732+190+359+171+27+59+52+20+22+9+8+60+101+28+46+22+1+489+117+23-3+44+10+9</f>
        <v>20879</v>
      </c>
      <c r="H12" s="31">
        <f>12802+4974+1453+694+219+58+596+228+47+79+3+2+33+13+21</f>
        <v>21222</v>
      </c>
      <c r="I12" s="31">
        <f>8295+3536+872+1590+722+170+3697+924+228+66+1+12+21+3+2+7+1-1-1</f>
        <v>20145</v>
      </c>
      <c r="J12" s="36" t="s">
        <v>38</v>
      </c>
      <c r="K12" s="32">
        <f>8348+3268+982+1460+671+166+4113+1037+199-1+14+5+18+1+1+7+1+1</f>
        <v>20291</v>
      </c>
      <c r="L12" s="31">
        <f>8316+2503+881+1774+536+183+5023+861+200-1+21+2+23+3+2+2</f>
        <v>20329</v>
      </c>
    </row>
    <row r="13" spans="1:12" s="26" customFormat="1" ht="14.25">
      <c r="A13" s="33" t="s">
        <v>1</v>
      </c>
      <c r="B13" s="31">
        <f>393+13+57+2</f>
        <v>465</v>
      </c>
      <c r="C13" s="31">
        <f>363+36+63+12</f>
        <v>474</v>
      </c>
      <c r="D13" s="31">
        <f>398+3+62+5</f>
        <v>468</v>
      </c>
      <c r="E13" s="31">
        <f>305+7+51-4+2</f>
        <v>361</v>
      </c>
      <c r="F13" s="31">
        <f>232+3+67+25</f>
        <v>327</v>
      </c>
      <c r="G13" s="31">
        <f>205+4+23+37+0+11+46+1+26+4-2</f>
        <v>355</v>
      </c>
      <c r="H13" s="31">
        <f>581+15+44+29+11</f>
        <v>680</v>
      </c>
      <c r="I13" s="31">
        <f>192+50+74+4</f>
        <v>320</v>
      </c>
      <c r="J13" s="31">
        <f>199+62+71</f>
        <v>332</v>
      </c>
      <c r="K13" s="32">
        <f>255+40+109+17+6</f>
        <v>427</v>
      </c>
      <c r="L13" s="31">
        <f>157+61+142-1+52+1+3</f>
        <v>415</v>
      </c>
    </row>
    <row r="14" spans="1:12" s="26" customFormat="1" ht="14.25">
      <c r="A14" s="33" t="s">
        <v>2</v>
      </c>
      <c r="B14" s="31">
        <f>76+5+91-30+154</f>
        <v>296</v>
      </c>
      <c r="C14" s="31">
        <f>45+113-28+178</f>
        <v>308</v>
      </c>
      <c r="D14" s="31">
        <f>126+14+161-29+1</f>
        <v>273</v>
      </c>
      <c r="E14" s="31">
        <f>192+13+189-32+3</f>
        <v>365</v>
      </c>
      <c r="F14" s="31">
        <f>116+31+165-24+21</f>
        <v>309</v>
      </c>
      <c r="G14" s="31">
        <f>5+6+83+110+28+77+53+6+3-23</f>
        <v>348</v>
      </c>
      <c r="H14" s="31">
        <f>92+37+212-26+114+2</f>
        <v>431</v>
      </c>
      <c r="I14" s="31">
        <f>151+160+17+18+2-12</f>
        <v>336</v>
      </c>
      <c r="J14" s="31">
        <f>83-18+159-6+10+32+1</f>
        <v>261</v>
      </c>
      <c r="K14" s="32">
        <f>113-34+190+16-3+4</f>
        <v>286</v>
      </c>
      <c r="L14" s="31">
        <f>118+180+20-19-3+121+8</f>
        <v>425</v>
      </c>
    </row>
    <row r="15" spans="1:12" s="26" customFormat="1" ht="14.25">
      <c r="A15" s="33" t="s">
        <v>3</v>
      </c>
      <c r="B15" s="31">
        <f>28+3+51-6+8</f>
        <v>84</v>
      </c>
      <c r="C15" s="31">
        <f>492+5+57+6</f>
        <v>560</v>
      </c>
      <c r="D15" s="31">
        <f>62+3+41+4</f>
        <v>110</v>
      </c>
      <c r="E15" s="31">
        <f>148+12+50+0</f>
        <v>210</v>
      </c>
      <c r="F15" s="31">
        <f>147+26+22-3+24</f>
        <v>216</v>
      </c>
      <c r="G15" s="31">
        <f>42+2+9+21+2+16+45+14+10-2</f>
        <v>159</v>
      </c>
      <c r="H15" s="31">
        <f>39+27+30-3+109+11</f>
        <v>213</v>
      </c>
      <c r="I15" s="31">
        <f>17+17+56-11+16+4</f>
        <v>99</v>
      </c>
      <c r="J15" s="31">
        <f>9-1+13+24-1+17+5</f>
        <v>66</v>
      </c>
      <c r="K15" s="32">
        <f>3+11+35+5</f>
        <v>54</v>
      </c>
      <c r="L15" s="31">
        <f>12+2+36+0+3+0</f>
        <v>53</v>
      </c>
    </row>
    <row r="16" spans="1:12" s="26" customFormat="1" ht="14.25">
      <c r="A16" s="33" t="s">
        <v>7</v>
      </c>
      <c r="B16" s="31">
        <f>258+18+4+6</f>
        <v>286</v>
      </c>
      <c r="C16" s="31">
        <f>186+9+4+1</f>
        <v>200</v>
      </c>
      <c r="D16" s="31">
        <f>212+13+8+0</f>
        <v>233</v>
      </c>
      <c r="E16" s="31">
        <f>189+19+11+5</f>
        <v>224</v>
      </c>
      <c r="F16" s="31">
        <f>293+24+82</f>
        <v>399</v>
      </c>
      <c r="G16" s="31">
        <f>220+108+60+7</f>
        <v>395</v>
      </c>
      <c r="H16" s="31">
        <f>354+14+9+2</f>
        <v>379</v>
      </c>
      <c r="I16" s="31">
        <f>250+114+127+7+1</f>
        <v>499</v>
      </c>
      <c r="J16" s="31">
        <f>259+144+82+4+3</f>
        <v>492</v>
      </c>
      <c r="K16" s="32">
        <f>206+133+291+1+1</f>
        <v>632</v>
      </c>
      <c r="L16" s="31">
        <f>252+230+385+2</f>
        <v>869</v>
      </c>
    </row>
    <row r="17" spans="1:12" s="26" customFormat="1" ht="14.25">
      <c r="A17" s="33" t="s">
        <v>5</v>
      </c>
      <c r="B17" s="31">
        <v>16</v>
      </c>
      <c r="C17" s="31">
        <v>36</v>
      </c>
      <c r="D17" s="31">
        <v>13</v>
      </c>
      <c r="E17" s="31">
        <f>52+6</f>
        <v>58</v>
      </c>
      <c r="F17" s="31">
        <v>24</v>
      </c>
      <c r="G17" s="31">
        <v>23</v>
      </c>
      <c r="H17" s="31">
        <v>25</v>
      </c>
      <c r="I17" s="31">
        <f>35+1+16</f>
        <v>52</v>
      </c>
      <c r="J17" s="31">
        <f>45+8</f>
        <v>53</v>
      </c>
      <c r="K17" s="32">
        <f>29+1+7</f>
        <v>37</v>
      </c>
      <c r="L17" s="31">
        <f>31+18</f>
        <v>49</v>
      </c>
    </row>
    <row r="18" spans="1:12" s="33" customFormat="1" ht="14.25">
      <c r="A18" s="33" t="s">
        <v>6</v>
      </c>
      <c r="B18" s="31">
        <v>0</v>
      </c>
      <c r="C18" s="31">
        <v>0</v>
      </c>
      <c r="D18" s="31">
        <v>0</v>
      </c>
      <c r="E18" s="31">
        <v>1</v>
      </c>
      <c r="F18" s="31">
        <f>1+0</f>
        <v>1</v>
      </c>
      <c r="G18" s="31">
        <v>0</v>
      </c>
      <c r="H18" s="31">
        <v>0</v>
      </c>
      <c r="I18" s="31">
        <v>1</v>
      </c>
      <c r="J18" s="31">
        <v>1</v>
      </c>
      <c r="K18" s="32">
        <v>0</v>
      </c>
      <c r="L18" s="31">
        <v>0</v>
      </c>
    </row>
    <row r="19" spans="1:12" s="37" customFormat="1" ht="17.25">
      <c r="A19" s="34" t="s">
        <v>21</v>
      </c>
      <c r="B19" s="28">
        <f aca="true" t="shared" si="2" ref="B19:H19">+SUM(B20:B26)</f>
        <v>58002</v>
      </c>
      <c r="C19" s="28">
        <f t="shared" si="2"/>
        <v>46468</v>
      </c>
      <c r="D19" s="28">
        <f t="shared" si="2"/>
        <v>36380</v>
      </c>
      <c r="E19" s="28">
        <f t="shared" si="2"/>
        <v>30559</v>
      </c>
      <c r="F19" s="28">
        <f t="shared" si="2"/>
        <v>29972</v>
      </c>
      <c r="G19" s="28">
        <f t="shared" si="2"/>
        <v>25683</v>
      </c>
      <c r="H19" s="28">
        <f t="shared" si="2"/>
        <v>25166</v>
      </c>
      <c r="I19" s="35" t="s">
        <v>39</v>
      </c>
      <c r="J19" s="28">
        <f>+SUM(J20:J26)</f>
        <v>23937</v>
      </c>
      <c r="K19" s="29">
        <f>+SUM(K20:K26)</f>
        <v>23040</v>
      </c>
      <c r="L19" s="28">
        <f>+SUM(L20:L26)</f>
        <v>24271</v>
      </c>
    </row>
    <row r="20" spans="1:12" s="26" customFormat="1" ht="16.5">
      <c r="A20" s="30" t="s">
        <v>36</v>
      </c>
      <c r="B20" s="31">
        <v>55289</v>
      </c>
      <c r="C20" s="31">
        <f>24696+2766+11149+2000+724+1618+913+94+393-3+30+20+67</f>
        <v>44467</v>
      </c>
      <c r="D20" s="31">
        <f>19535+8073+2108+1705+1207+457+756+302+69-8+35+28+15</f>
        <v>34282</v>
      </c>
      <c r="E20" s="31">
        <f>15759+6580+1973+1753+1079+368+666+245+69-1+40+43+22</f>
        <v>28596</v>
      </c>
      <c r="F20" s="31">
        <f>15087+7014+1545+1534+995+238+837+318+70-13+35+72+22</f>
        <v>27754</v>
      </c>
      <c r="G20" s="31">
        <f>13339+1119+581+5914+681+275+1548+234+50-8+46+29+11</f>
        <v>23819</v>
      </c>
      <c r="H20" s="31">
        <f>12406+6310+1544+1124+802+251+562+254+53+28+70+22-1</f>
        <v>23425</v>
      </c>
      <c r="I20" s="36" t="s">
        <v>40</v>
      </c>
      <c r="J20" s="31">
        <f>14872+5525+1826-3+22+27+8</f>
        <v>22277</v>
      </c>
      <c r="K20" s="32">
        <f>14266+4791+2045-2+17+11+9</f>
        <v>21137</v>
      </c>
      <c r="L20" s="31">
        <f>40+11+7+15953+4300+1818-2</f>
        <v>22127</v>
      </c>
    </row>
    <row r="21" spans="1:12" s="26" customFormat="1" ht="14.25">
      <c r="A21" s="33" t="s">
        <v>1</v>
      </c>
      <c r="B21" s="31">
        <f>567+33+70-2+31</f>
        <v>699</v>
      </c>
      <c r="C21" s="31">
        <f>520+44+67+40</f>
        <v>671</v>
      </c>
      <c r="D21" s="31">
        <f>474+31+70-2+27</f>
        <v>600</v>
      </c>
      <c r="E21" s="31">
        <f>331+35+58-5+30</f>
        <v>449</v>
      </c>
      <c r="F21" s="31">
        <f>372+30+71+39</f>
        <v>512</v>
      </c>
      <c r="G21" s="31">
        <f>223+15+58-6+19</f>
        <v>309</v>
      </c>
      <c r="H21" s="31">
        <f>258+26+39+18</f>
        <v>341</v>
      </c>
      <c r="I21" s="31">
        <f>352+11</f>
        <v>363</v>
      </c>
      <c r="J21" s="31">
        <f>305-8+31</f>
        <v>328</v>
      </c>
      <c r="K21" s="32">
        <f>280-4+24</f>
        <v>300</v>
      </c>
      <c r="L21" s="31">
        <f>342-9+24</f>
        <v>357</v>
      </c>
    </row>
    <row r="22" spans="1:12" s="26" customFormat="1" ht="16.5">
      <c r="A22" s="33" t="s">
        <v>2</v>
      </c>
      <c r="B22" s="31">
        <f>11+17+183-77+10</f>
        <v>144</v>
      </c>
      <c r="C22" s="31">
        <f>32+9+186-47+8</f>
        <v>188</v>
      </c>
      <c r="D22" s="31">
        <f>447+68+135-65+28</f>
        <v>613</v>
      </c>
      <c r="E22" s="31">
        <f>443+77+162-52+32</f>
        <v>662</v>
      </c>
      <c r="F22" s="31">
        <f>487+114+173-56+26</f>
        <v>744</v>
      </c>
      <c r="G22" s="31">
        <f>405+79+7+160-51+37</f>
        <v>637</v>
      </c>
      <c r="H22" s="31">
        <f>86+41+259-58+18</f>
        <v>346</v>
      </c>
      <c r="I22" s="36" t="s">
        <v>41</v>
      </c>
      <c r="J22" s="31">
        <f>316-43+20</f>
        <v>293</v>
      </c>
      <c r="K22" s="32">
        <f>427-69+38</f>
        <v>396</v>
      </c>
      <c r="L22" s="31">
        <f>394-58+28</f>
        <v>364</v>
      </c>
    </row>
    <row r="23" spans="1:12" s="26" customFormat="1" ht="16.5">
      <c r="A23" s="33" t="s">
        <v>3</v>
      </c>
      <c r="B23" s="31">
        <v>175</v>
      </c>
      <c r="C23" s="31">
        <f>64+22+124-22+60</f>
        <v>248</v>
      </c>
      <c r="D23" s="31">
        <f>51+12+99-23+42</f>
        <v>181</v>
      </c>
      <c r="E23" s="31">
        <f>56+35+112-37+42</f>
        <v>208</v>
      </c>
      <c r="F23" s="31">
        <f>73+40+120-32+65</f>
        <v>266</v>
      </c>
      <c r="G23" s="31">
        <f>77+15+109-30+45</f>
        <v>216</v>
      </c>
      <c r="H23" s="31">
        <f>68+42+67+50-26</f>
        <v>201</v>
      </c>
      <c r="I23" s="36" t="s">
        <v>42</v>
      </c>
      <c r="J23" s="31">
        <f>181-28+40</f>
        <v>193</v>
      </c>
      <c r="K23" s="32">
        <f>201-31+45</f>
        <v>215</v>
      </c>
      <c r="L23" s="31">
        <v>268</v>
      </c>
    </row>
    <row r="24" spans="1:12" s="26" customFormat="1" ht="14.25">
      <c r="A24" s="33" t="s">
        <v>7</v>
      </c>
      <c r="B24" s="31">
        <v>1613</v>
      </c>
      <c r="C24" s="31">
        <f>587+213+10+4</f>
        <v>814</v>
      </c>
      <c r="D24" s="31">
        <f>510+145+10+3</f>
        <v>668</v>
      </c>
      <c r="E24" s="31">
        <f>391+111+11+11</f>
        <v>524</v>
      </c>
      <c r="F24" s="31">
        <f>497+134+13+15</f>
        <v>659</v>
      </c>
      <c r="G24" s="31">
        <f>502+129+9+7</f>
        <v>647</v>
      </c>
      <c r="H24" s="31">
        <f>555+199+14+6</f>
        <v>774</v>
      </c>
      <c r="I24" s="31">
        <f>878+7+1</f>
        <v>886</v>
      </c>
      <c r="J24" s="31">
        <f>656+8</f>
        <v>664</v>
      </c>
      <c r="K24" s="32">
        <f>854+8</f>
        <v>862</v>
      </c>
      <c r="L24" s="31">
        <f>994+3</f>
        <v>997</v>
      </c>
    </row>
    <row r="25" spans="1:12" s="26" customFormat="1" ht="14.25">
      <c r="A25" s="33" t="s">
        <v>5</v>
      </c>
      <c r="B25" s="31">
        <f>71+7+3+0</f>
        <v>81</v>
      </c>
      <c r="C25" s="31">
        <f>68+10+1+0</f>
        <v>79</v>
      </c>
      <c r="D25" s="31">
        <f>32+3+0</f>
        <v>35</v>
      </c>
      <c r="E25" s="31">
        <f>105+12+1+1</f>
        <v>119</v>
      </c>
      <c r="F25" s="31">
        <f>36+0</f>
        <v>36</v>
      </c>
      <c r="G25" s="31">
        <f>45+8+1+0</f>
        <v>54</v>
      </c>
      <c r="H25" s="31">
        <f>57+20+1</f>
        <v>78</v>
      </c>
      <c r="I25" s="31">
        <f>159+1</f>
        <v>160</v>
      </c>
      <c r="J25" s="31">
        <v>179</v>
      </c>
      <c r="K25" s="32">
        <f>130</f>
        <v>130</v>
      </c>
      <c r="L25" s="31">
        <v>157</v>
      </c>
    </row>
    <row r="26" spans="1:12" s="33" customFormat="1" ht="16.5">
      <c r="A26" s="33" t="s">
        <v>6</v>
      </c>
      <c r="B26" s="31">
        <f>1+0</f>
        <v>1</v>
      </c>
      <c r="C26" s="31">
        <v>1</v>
      </c>
      <c r="D26" s="31">
        <v>1</v>
      </c>
      <c r="E26" s="31">
        <v>1</v>
      </c>
      <c r="F26" s="31">
        <v>1</v>
      </c>
      <c r="G26" s="31">
        <f>1+0</f>
        <v>1</v>
      </c>
      <c r="H26" s="31">
        <v>1</v>
      </c>
      <c r="I26" s="36" t="s">
        <v>43</v>
      </c>
      <c r="J26" s="31">
        <v>3</v>
      </c>
      <c r="K26" s="32">
        <v>0</v>
      </c>
      <c r="L26" s="31">
        <v>1</v>
      </c>
    </row>
    <row r="27" spans="1:12" s="37" customFormat="1" ht="15">
      <c r="A27" s="34" t="s">
        <v>22</v>
      </c>
      <c r="B27" s="28">
        <f aca="true" t="shared" si="3" ref="B27:L27">+SUM(B28:B34)</f>
        <v>2490.2659089999997</v>
      </c>
      <c r="C27" s="28">
        <f t="shared" si="3"/>
        <v>2478.035945</v>
      </c>
      <c r="D27" s="28">
        <f t="shared" si="3"/>
        <v>2509.5782030000005</v>
      </c>
      <c r="E27" s="28">
        <f t="shared" si="3"/>
        <v>2535.336512</v>
      </c>
      <c r="F27" s="28">
        <f t="shared" si="3"/>
        <v>2581.284934</v>
      </c>
      <c r="G27" s="28">
        <f t="shared" si="3"/>
        <v>2619.6195160000007</v>
      </c>
      <c r="H27" s="28">
        <f t="shared" si="3"/>
        <v>2605.330823</v>
      </c>
      <c r="I27" s="28">
        <f t="shared" si="3"/>
        <v>2701.8009819999997</v>
      </c>
      <c r="J27" s="28">
        <f t="shared" si="3"/>
        <v>2832.920678</v>
      </c>
      <c r="K27" s="29">
        <f t="shared" si="3"/>
        <v>2927.4549399999996</v>
      </c>
      <c r="L27" s="28">
        <f t="shared" si="3"/>
        <v>3001.7668789999993</v>
      </c>
    </row>
    <row r="28" spans="1:12" s="26" customFormat="1" ht="16.5">
      <c r="A28" s="30" t="s">
        <v>36</v>
      </c>
      <c r="B28" s="31">
        <f>783.462575+590.034014+294.410421</f>
        <v>1667.90701</v>
      </c>
      <c r="C28" s="31">
        <f>816.537201+569.705808+274.486151</f>
        <v>1660.72916</v>
      </c>
      <c r="D28" s="31">
        <f>818.63474+594.265959+274.66727</f>
        <v>1687.5679689999997</v>
      </c>
      <c r="E28" s="31">
        <f>812.012373+595.797608+282.306693</f>
        <v>1690.1166739999999</v>
      </c>
      <c r="F28" s="31">
        <f>809.748409+628.481294+263.588384</f>
        <v>1701.818087</v>
      </c>
      <c r="G28" s="31">
        <f>810.119645+630.797756+260.690837</f>
        <v>1701.6082380000003</v>
      </c>
      <c r="H28" s="31">
        <f>779.119052+645.586093+261.903415</f>
        <v>1686.60856</v>
      </c>
      <c r="I28" s="31">
        <f>838.353348+624.084181+256.317566</f>
        <v>1718.7550949999998</v>
      </c>
      <c r="J28" s="31">
        <f>842.454297+653.465715+283.110563</f>
        <v>1779.030575</v>
      </c>
      <c r="K28" s="32">
        <f>889.300281+653.553649+292.491488</f>
        <v>1835.3454179999999</v>
      </c>
      <c r="L28" s="31">
        <f>1045.200595+566.930847+256.174269</f>
        <v>1868.305711</v>
      </c>
    </row>
    <row r="29" spans="1:12" s="26" customFormat="1" ht="14.25">
      <c r="A29" s="33" t="s">
        <v>1</v>
      </c>
      <c r="B29" s="31">
        <v>24.055177</v>
      </c>
      <c r="C29" s="31">
        <v>27.31644</v>
      </c>
      <c r="D29" s="31">
        <v>28.287567</v>
      </c>
      <c r="E29" s="31">
        <v>27.39587</v>
      </c>
      <c r="F29" s="31">
        <v>33.778116</v>
      </c>
      <c r="G29" s="31">
        <v>34.461491</v>
      </c>
      <c r="H29" s="31">
        <v>37.467839</v>
      </c>
      <c r="I29" s="31">
        <v>40.747527</v>
      </c>
      <c r="J29" s="31">
        <v>43.282733</v>
      </c>
      <c r="K29" s="32">
        <v>48.057755</v>
      </c>
      <c r="L29" s="31">
        <v>51.984347</v>
      </c>
    </row>
    <row r="30" spans="1:12" s="26" customFormat="1" ht="14.25">
      <c r="A30" s="33" t="s">
        <v>2</v>
      </c>
      <c r="B30" s="31">
        <v>528.627222</v>
      </c>
      <c r="C30" s="31">
        <v>521.837984</v>
      </c>
      <c r="D30" s="31">
        <v>520.198883</v>
      </c>
      <c r="E30" s="31">
        <v>517.685338</v>
      </c>
      <c r="F30" s="31">
        <v>522.271573</v>
      </c>
      <c r="G30" s="31">
        <v>537.226212</v>
      </c>
      <c r="H30" s="31">
        <v>543.11172</v>
      </c>
      <c r="I30" s="31">
        <v>557.671749</v>
      </c>
      <c r="J30" s="31">
        <v>565.677634</v>
      </c>
      <c r="K30" s="32">
        <v>577.675587</v>
      </c>
      <c r="L30" s="31">
        <v>595.242992</v>
      </c>
    </row>
    <row r="31" spans="1:12" s="26" customFormat="1" ht="14.25">
      <c r="A31" s="33" t="s">
        <v>3</v>
      </c>
      <c r="B31" s="31">
        <v>187.250786</v>
      </c>
      <c r="C31" s="31">
        <v>188.340972</v>
      </c>
      <c r="D31" s="31">
        <v>188.003333</v>
      </c>
      <c r="E31" s="31">
        <v>206.398036</v>
      </c>
      <c r="F31" s="31">
        <v>210.144656</v>
      </c>
      <c r="G31" s="31">
        <v>217.072438</v>
      </c>
      <c r="H31" s="31">
        <v>203.372845</v>
      </c>
      <c r="I31" s="31">
        <v>216.206241</v>
      </c>
      <c r="J31" s="31">
        <v>242.43787</v>
      </c>
      <c r="K31" s="32">
        <v>248.588246</v>
      </c>
      <c r="L31" s="31">
        <v>253.448787</v>
      </c>
    </row>
    <row r="32" spans="1:12" s="26" customFormat="1" ht="14.25">
      <c r="A32" s="33" t="s">
        <v>7</v>
      </c>
      <c r="B32" s="31">
        <v>74.105006</v>
      </c>
      <c r="C32" s="31">
        <v>70.951677</v>
      </c>
      <c r="D32" s="31">
        <v>71.968135</v>
      </c>
      <c r="E32" s="31">
        <v>76.793858</v>
      </c>
      <c r="F32" s="31">
        <v>93.913122</v>
      </c>
      <c r="G32" s="31">
        <v>109.451896</v>
      </c>
      <c r="H32" s="31">
        <v>108.456674</v>
      </c>
      <c r="I32" s="31">
        <v>133.997635</v>
      </c>
      <c r="J32" s="31">
        <v>157.129756</v>
      </c>
      <c r="K32" s="32">
        <v>166.904703</v>
      </c>
      <c r="L32" s="31">
        <v>179.060329</v>
      </c>
    </row>
    <row r="33" spans="1:12" s="26" customFormat="1" ht="14.25">
      <c r="A33" s="33" t="s">
        <v>5</v>
      </c>
      <c r="B33" s="31">
        <v>7.703281</v>
      </c>
      <c r="C33" s="31">
        <v>8.368677</v>
      </c>
      <c r="D33" s="31">
        <v>12.571244</v>
      </c>
      <c r="E33" s="31">
        <v>15.988994</v>
      </c>
      <c r="F33" s="31">
        <v>18.175972</v>
      </c>
      <c r="G33" s="31">
        <v>18.653979</v>
      </c>
      <c r="H33" s="31">
        <v>24.871057</v>
      </c>
      <c r="I33" s="31">
        <v>32.985274</v>
      </c>
      <c r="J33" s="31">
        <v>43.91235</v>
      </c>
      <c r="K33" s="32">
        <v>49.43347</v>
      </c>
      <c r="L33" s="31">
        <v>52.101539</v>
      </c>
    </row>
    <row r="34" spans="1:12" s="33" customFormat="1" ht="14.25">
      <c r="A34" s="33" t="s">
        <v>6</v>
      </c>
      <c r="B34" s="38">
        <v>0.617427</v>
      </c>
      <c r="C34" s="38">
        <v>0.491035</v>
      </c>
      <c r="D34" s="38">
        <v>0.981072</v>
      </c>
      <c r="E34" s="38">
        <v>0.957742</v>
      </c>
      <c r="F34" s="38">
        <v>1.183408</v>
      </c>
      <c r="G34" s="38">
        <v>1.145262</v>
      </c>
      <c r="H34" s="38">
        <v>1.442128</v>
      </c>
      <c r="I34" s="38">
        <v>1.437461</v>
      </c>
      <c r="J34" s="38">
        <v>1.44976</v>
      </c>
      <c r="K34" s="39">
        <v>1.449761</v>
      </c>
      <c r="L34" s="38">
        <v>1.623174</v>
      </c>
    </row>
    <row r="35" spans="1:12" s="26" customFormat="1" ht="17.25">
      <c r="A35" s="40" t="s">
        <v>44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s="26" customFormat="1" ht="15">
      <c r="A36" s="34" t="s">
        <v>33</v>
      </c>
      <c r="B36" s="42">
        <f aca="true" t="shared" si="4" ref="B36:L36">+B3/(B27)*100</f>
        <v>8.513147099424875</v>
      </c>
      <c r="C36" s="42">
        <f t="shared" si="4"/>
        <v>8.676226042395038</v>
      </c>
      <c r="D36" s="42">
        <f t="shared" si="4"/>
        <v>6.89358872312456</v>
      </c>
      <c r="E36" s="42">
        <f t="shared" si="4"/>
        <v>7.533516718430788</v>
      </c>
      <c r="F36" s="42">
        <f t="shared" si="4"/>
        <v>8.716589053628281</v>
      </c>
      <c r="G36" s="42">
        <f t="shared" si="4"/>
        <v>6.833053384535861</v>
      </c>
      <c r="H36" s="42">
        <f t="shared" si="4"/>
        <v>5.834191906000416</v>
      </c>
      <c r="I36" s="42">
        <f t="shared" si="4"/>
        <v>6.847284505132363</v>
      </c>
      <c r="J36" s="42">
        <f t="shared" si="4"/>
        <v>6.777457677902551</v>
      </c>
      <c r="K36" s="43">
        <f t="shared" si="4"/>
        <v>6.490279232103228</v>
      </c>
      <c r="L36" s="42">
        <f t="shared" si="4"/>
        <v>6.0964094607161545</v>
      </c>
    </row>
    <row r="37" spans="1:12" s="26" customFormat="1" ht="16.5">
      <c r="A37" s="30" t="s">
        <v>36</v>
      </c>
      <c r="B37" s="44">
        <f aca="true" t="shared" si="5" ref="B37:L37">+B4/(B28)*100</f>
        <v>5.5158950378174865</v>
      </c>
      <c r="C37" s="44">
        <f t="shared" si="5"/>
        <v>4.81716115588649</v>
      </c>
      <c r="D37" s="44">
        <f t="shared" si="5"/>
        <v>5.392375398895712</v>
      </c>
      <c r="E37" s="44">
        <f t="shared" si="5"/>
        <v>4.6742335138929</v>
      </c>
      <c r="F37" s="44">
        <f t="shared" si="5"/>
        <v>5.288461833112483</v>
      </c>
      <c r="G37" s="44">
        <f t="shared" si="5"/>
        <v>4.054987420670915</v>
      </c>
      <c r="H37" s="44">
        <f t="shared" si="5"/>
        <v>4.861827571893742</v>
      </c>
      <c r="I37" s="44">
        <f t="shared" si="5"/>
        <v>5.818164571026334</v>
      </c>
      <c r="J37" s="44">
        <f t="shared" si="5"/>
        <v>5.058934976426698</v>
      </c>
      <c r="K37" s="45">
        <f t="shared" si="5"/>
        <v>4.958194741301825</v>
      </c>
      <c r="L37" s="44">
        <f t="shared" si="5"/>
        <v>4.389003336938362</v>
      </c>
    </row>
    <row r="38" spans="1:12" s="26" customFormat="1" ht="14.25">
      <c r="A38" s="33" t="s">
        <v>1</v>
      </c>
      <c r="B38" s="44">
        <f aca="true" t="shared" si="6" ref="B38:L38">+B5/(B29)*100</f>
        <v>20.78554649587488</v>
      </c>
      <c r="C38" s="44">
        <f t="shared" si="6"/>
        <v>40.26879051589446</v>
      </c>
      <c r="D38" s="44">
        <f t="shared" si="6"/>
        <v>21.21073190918116</v>
      </c>
      <c r="E38" s="44">
        <f t="shared" si="6"/>
        <v>51.10259320109199</v>
      </c>
      <c r="F38" s="44">
        <f t="shared" si="6"/>
        <v>29.60496671868852</v>
      </c>
      <c r="G38" s="44">
        <f t="shared" si="6"/>
        <v>29.017897107237754</v>
      </c>
      <c r="H38" s="44">
        <f t="shared" si="6"/>
        <v>13.344778170953495</v>
      </c>
      <c r="I38" s="44">
        <f t="shared" si="6"/>
        <v>7.362409993617527</v>
      </c>
      <c r="J38" s="44">
        <f t="shared" si="6"/>
        <v>32.34546210379091</v>
      </c>
      <c r="K38" s="45">
        <f t="shared" si="6"/>
        <v>27.050785039792224</v>
      </c>
      <c r="L38" s="44">
        <f t="shared" si="6"/>
        <v>42.32043157144977</v>
      </c>
    </row>
    <row r="39" spans="1:12" s="26" customFormat="1" ht="14.25">
      <c r="A39" s="33" t="s">
        <v>2</v>
      </c>
      <c r="B39" s="44">
        <f aca="true" t="shared" si="7" ref="B39:L39">+B6/(B30)*100</f>
        <v>9.647630291729472</v>
      </c>
      <c r="C39" s="44">
        <f t="shared" si="7"/>
        <v>11.306191156832309</v>
      </c>
      <c r="D39" s="44">
        <f t="shared" si="7"/>
        <v>6.343727577746451</v>
      </c>
      <c r="E39" s="44">
        <f t="shared" si="7"/>
        <v>7.147198748750346</v>
      </c>
      <c r="F39" s="44">
        <f t="shared" si="7"/>
        <v>7.850321962669793</v>
      </c>
      <c r="G39" s="44">
        <f t="shared" si="7"/>
        <v>8.004077060930898</v>
      </c>
      <c r="H39" s="44">
        <f t="shared" si="7"/>
        <v>5.891973754497509</v>
      </c>
      <c r="I39" s="44">
        <f t="shared" si="7"/>
        <v>5.020874744006443</v>
      </c>
      <c r="J39" s="44">
        <f t="shared" si="7"/>
        <v>3.182024340032507</v>
      </c>
      <c r="K39" s="45">
        <f t="shared" si="7"/>
        <v>3.635258347865755</v>
      </c>
      <c r="L39" s="44">
        <f t="shared" si="7"/>
        <v>3.191973741036501</v>
      </c>
    </row>
    <row r="40" spans="1:12" s="26" customFormat="1" ht="14.25">
      <c r="A40" s="33" t="s">
        <v>3</v>
      </c>
      <c r="B40" s="44">
        <f aca="true" t="shared" si="8" ref="B40:L40">+B7/(B31)*100</f>
        <v>33.64471858612118</v>
      </c>
      <c r="C40" s="44">
        <f t="shared" si="8"/>
        <v>33.44997072649705</v>
      </c>
      <c r="D40" s="44">
        <f t="shared" si="8"/>
        <v>22.871934935323726</v>
      </c>
      <c r="E40" s="44">
        <f t="shared" si="8"/>
        <v>28.585543323677754</v>
      </c>
      <c r="F40" s="44">
        <f t="shared" si="8"/>
        <v>39.020740075350766</v>
      </c>
      <c r="G40" s="44">
        <f t="shared" si="8"/>
        <v>25.797839889742242</v>
      </c>
      <c r="H40" s="44">
        <f t="shared" si="8"/>
        <v>14.751231906108211</v>
      </c>
      <c r="I40" s="44">
        <f t="shared" si="8"/>
        <v>24.051109606960882</v>
      </c>
      <c r="J40" s="44">
        <f t="shared" si="8"/>
        <v>27.635946479813573</v>
      </c>
      <c r="K40" s="45">
        <f t="shared" si="8"/>
        <v>25.74538459875533</v>
      </c>
      <c r="L40" s="44">
        <f t="shared" si="8"/>
        <v>22.095193535094722</v>
      </c>
    </row>
    <row r="41" spans="1:12" s="26" customFormat="1" ht="14.25">
      <c r="A41" s="33" t="s">
        <v>7</v>
      </c>
      <c r="B41" s="31">
        <f aca="true" t="shared" si="9" ref="B41:L41">+B8/(B32)*100</f>
        <v>0</v>
      </c>
      <c r="C41" s="44">
        <f t="shared" si="9"/>
        <v>2.8188199131642793</v>
      </c>
      <c r="D41" s="31">
        <f t="shared" si="9"/>
        <v>0</v>
      </c>
      <c r="E41" s="44">
        <f t="shared" si="9"/>
        <v>2.60437494884031</v>
      </c>
      <c r="F41" s="44">
        <f t="shared" si="9"/>
        <v>2.1296278490241223</v>
      </c>
      <c r="G41" s="44">
        <f t="shared" si="9"/>
        <v>0.9136433780918697</v>
      </c>
      <c r="H41" s="44">
        <f t="shared" si="9"/>
        <v>2.766081504583111</v>
      </c>
      <c r="I41" s="44">
        <f t="shared" si="9"/>
        <v>1.4925636560675117</v>
      </c>
      <c r="J41" s="44">
        <f t="shared" si="9"/>
        <v>1.2728333900041187</v>
      </c>
      <c r="K41" s="45">
        <f t="shared" si="9"/>
        <v>0.599144291338513</v>
      </c>
      <c r="L41" s="44">
        <f t="shared" si="9"/>
        <v>2.2338839777290924</v>
      </c>
    </row>
    <row r="42" spans="1:12" s="26" customFormat="1" ht="14.25">
      <c r="A42" s="33" t="s">
        <v>5</v>
      </c>
      <c r="B42" s="31">
        <f aca="true" t="shared" si="10" ref="B42:L42">+B9/(B33)*100</f>
        <v>0</v>
      </c>
      <c r="C42" s="31">
        <f t="shared" si="10"/>
        <v>0</v>
      </c>
      <c r="D42" s="31">
        <f t="shared" si="10"/>
        <v>0</v>
      </c>
      <c r="E42" s="31">
        <f t="shared" si="10"/>
        <v>0</v>
      </c>
      <c r="F42" s="31">
        <f t="shared" si="10"/>
        <v>0</v>
      </c>
      <c r="G42" s="31">
        <f t="shared" si="10"/>
        <v>0</v>
      </c>
      <c r="H42" s="31">
        <f t="shared" si="10"/>
        <v>0</v>
      </c>
      <c r="I42" s="31">
        <f t="shared" si="10"/>
        <v>0</v>
      </c>
      <c r="J42" s="31">
        <f t="shared" si="10"/>
        <v>0</v>
      </c>
      <c r="K42" s="32">
        <f t="shared" si="10"/>
        <v>0</v>
      </c>
      <c r="L42" s="31">
        <f t="shared" si="10"/>
        <v>0</v>
      </c>
    </row>
    <row r="43" spans="1:12" s="26" customFormat="1" ht="14.25">
      <c r="A43" s="33" t="s">
        <v>6</v>
      </c>
      <c r="B43" s="44">
        <f aca="true" t="shared" si="11" ref="B43:L43">+B10/(B34)*100</f>
        <v>161.96246681793963</v>
      </c>
      <c r="C43" s="31">
        <f t="shared" si="11"/>
        <v>0</v>
      </c>
      <c r="D43" s="31">
        <f t="shared" si="11"/>
        <v>0</v>
      </c>
      <c r="E43" s="31">
        <f t="shared" si="11"/>
        <v>0</v>
      </c>
      <c r="F43" s="31">
        <f t="shared" si="11"/>
        <v>0</v>
      </c>
      <c r="G43" s="31">
        <f t="shared" si="11"/>
        <v>0</v>
      </c>
      <c r="H43" s="31">
        <f t="shared" si="11"/>
        <v>0</v>
      </c>
      <c r="I43" s="31">
        <f t="shared" si="11"/>
        <v>0</v>
      </c>
      <c r="J43" s="44">
        <f t="shared" si="11"/>
        <v>68.97693411323253</v>
      </c>
      <c r="K43" s="32">
        <f t="shared" si="11"/>
        <v>0</v>
      </c>
      <c r="L43" s="31">
        <f t="shared" si="11"/>
        <v>0</v>
      </c>
    </row>
    <row r="44" spans="1:12" s="26" customFormat="1" ht="15">
      <c r="A44" s="34" t="s">
        <v>34</v>
      </c>
      <c r="B44" s="28">
        <f aca="true" t="shared" si="12" ref="B44:I51">+B11/(B27)*100</f>
        <v>804.0506809989826</v>
      </c>
      <c r="C44" s="28">
        <f t="shared" si="12"/>
        <v>831.0613912422484</v>
      </c>
      <c r="D44" s="28">
        <f t="shared" si="12"/>
        <v>862.814315733041</v>
      </c>
      <c r="E44" s="28">
        <f t="shared" si="12"/>
        <v>870.9297521448705</v>
      </c>
      <c r="F44" s="28">
        <f t="shared" si="12"/>
        <v>811.1851475285448</v>
      </c>
      <c r="G44" s="28">
        <f t="shared" si="12"/>
        <v>845.8862008264255</v>
      </c>
      <c r="H44" s="28">
        <f t="shared" si="12"/>
        <v>880.886212123089</v>
      </c>
      <c r="I44" s="28">
        <f t="shared" si="12"/>
        <v>793.988903805943</v>
      </c>
      <c r="J44" s="28">
        <v>753.3214807506164</v>
      </c>
      <c r="K44" s="29">
        <f aca="true" t="shared" si="13" ref="K44:L51">+K11/(K27)*100</f>
        <v>742.180509873194</v>
      </c>
      <c r="L44" s="28">
        <f t="shared" si="13"/>
        <v>737.5656036079544</v>
      </c>
    </row>
    <row r="45" spans="1:12" s="26" customFormat="1" ht="16.5">
      <c r="A45" s="30" t="s">
        <v>36</v>
      </c>
      <c r="B45" s="31">
        <f t="shared" si="12"/>
        <v>1131.7177688461181</v>
      </c>
      <c r="C45" s="31">
        <f t="shared" si="12"/>
        <v>1145.0392067542186</v>
      </c>
      <c r="D45" s="31">
        <f t="shared" si="12"/>
        <v>1218.0842714252776</v>
      </c>
      <c r="E45" s="31">
        <f t="shared" si="12"/>
        <v>1234.35265274473</v>
      </c>
      <c r="F45" s="31">
        <f t="shared" si="12"/>
        <v>1155.4113891610084</v>
      </c>
      <c r="G45" s="31">
        <f t="shared" si="12"/>
        <v>1227.0156863215655</v>
      </c>
      <c r="H45" s="31">
        <f t="shared" si="12"/>
        <v>1258.2646918381583</v>
      </c>
      <c r="I45" s="31">
        <f t="shared" si="12"/>
        <v>1172.0692528332552</v>
      </c>
      <c r="J45" s="31">
        <v>1131.8523853925333</v>
      </c>
      <c r="K45" s="32">
        <f t="shared" si="13"/>
        <v>1105.5684559973115</v>
      </c>
      <c r="L45" s="31">
        <f t="shared" si="13"/>
        <v>1088.0981565441461</v>
      </c>
    </row>
    <row r="46" spans="1:12" s="26" customFormat="1" ht="14.25">
      <c r="A46" s="33" t="s">
        <v>1</v>
      </c>
      <c r="B46" s="31">
        <f t="shared" si="12"/>
        <v>1933.0558241163637</v>
      </c>
      <c r="C46" s="31">
        <f t="shared" si="12"/>
        <v>1735.2187913212701</v>
      </c>
      <c r="D46" s="31">
        <f t="shared" si="12"/>
        <v>1654.4370889161307</v>
      </c>
      <c r="E46" s="31">
        <f t="shared" si="12"/>
        <v>1317.7168675424434</v>
      </c>
      <c r="F46" s="31">
        <f t="shared" si="12"/>
        <v>968.0824117011146</v>
      </c>
      <c r="G46" s="31">
        <f t="shared" si="12"/>
        <v>1030.1353473069403</v>
      </c>
      <c r="H46" s="31">
        <f t="shared" si="12"/>
        <v>1814.8898312496754</v>
      </c>
      <c r="I46" s="31">
        <f t="shared" si="12"/>
        <v>785.3237326525363</v>
      </c>
      <c r="J46" s="31">
        <f aca="true" t="shared" si="14" ref="J46:J51">+J13/(J29)*100</f>
        <v>767.0495298898985</v>
      </c>
      <c r="K46" s="32">
        <f t="shared" si="13"/>
        <v>888.5142470762522</v>
      </c>
      <c r="L46" s="31">
        <f t="shared" si="13"/>
        <v>798.3172319159843</v>
      </c>
    </row>
    <row r="47" spans="1:12" s="26" customFormat="1" ht="14.25">
      <c r="A47" s="33" t="s">
        <v>2</v>
      </c>
      <c r="B47" s="31">
        <f t="shared" si="12"/>
        <v>55.99408953631223</v>
      </c>
      <c r="C47" s="31">
        <f t="shared" si="12"/>
        <v>59.022150445836466</v>
      </c>
      <c r="D47" s="31">
        <f t="shared" si="12"/>
        <v>52.479928143175194</v>
      </c>
      <c r="E47" s="31">
        <f t="shared" si="12"/>
        <v>70.50614981875341</v>
      </c>
      <c r="F47" s="31">
        <f t="shared" si="12"/>
        <v>59.164621621096735</v>
      </c>
      <c r="G47" s="31">
        <f t="shared" si="12"/>
        <v>64.77718179544077</v>
      </c>
      <c r="H47" s="31">
        <f t="shared" si="12"/>
        <v>79.35752150588833</v>
      </c>
      <c r="I47" s="31">
        <f t="shared" si="12"/>
        <v>60.25049692807731</v>
      </c>
      <c r="J47" s="31">
        <f t="shared" si="14"/>
        <v>46.13935293047135</v>
      </c>
      <c r="K47" s="32">
        <f t="shared" si="13"/>
        <v>49.50875654712409</v>
      </c>
      <c r="L47" s="31">
        <f t="shared" si="13"/>
        <v>71.39941262844806</v>
      </c>
    </row>
    <row r="48" spans="1:12" s="26" customFormat="1" ht="14.25">
      <c r="A48" s="33" t="s">
        <v>3</v>
      </c>
      <c r="B48" s="31">
        <f t="shared" si="12"/>
        <v>44.85962478149491</v>
      </c>
      <c r="C48" s="31">
        <f t="shared" si="12"/>
        <v>297.3330731244182</v>
      </c>
      <c r="D48" s="31">
        <f t="shared" si="12"/>
        <v>58.50960099733976</v>
      </c>
      <c r="E48" s="31">
        <f t="shared" si="12"/>
        <v>101.7451542029208</v>
      </c>
      <c r="F48" s="31">
        <f t="shared" si="12"/>
        <v>102.78633971068005</v>
      </c>
      <c r="G48" s="31">
        <f t="shared" si="12"/>
        <v>73.2474382583753</v>
      </c>
      <c r="H48" s="31">
        <f t="shared" si="12"/>
        <v>104.7337465333683</v>
      </c>
      <c r="I48" s="31">
        <f t="shared" si="12"/>
        <v>45.78961252094476</v>
      </c>
      <c r="J48" s="31">
        <f t="shared" si="14"/>
        <v>27.223469666682025</v>
      </c>
      <c r="K48" s="32">
        <f t="shared" si="13"/>
        <v>21.722668255199807</v>
      </c>
      <c r="L48" s="31">
        <f t="shared" si="13"/>
        <v>20.911522452857508</v>
      </c>
    </row>
    <row r="49" spans="1:12" s="26" customFormat="1" ht="14.25">
      <c r="A49" s="33" t="s">
        <v>7</v>
      </c>
      <c r="B49" s="31">
        <f t="shared" si="12"/>
        <v>385.9388392735573</v>
      </c>
      <c r="C49" s="31">
        <f t="shared" si="12"/>
        <v>281.8819913164279</v>
      </c>
      <c r="D49" s="31">
        <f t="shared" si="12"/>
        <v>323.75439491380456</v>
      </c>
      <c r="E49" s="31">
        <f t="shared" si="12"/>
        <v>291.6899942701147</v>
      </c>
      <c r="F49" s="31">
        <f t="shared" si="12"/>
        <v>424.86075588031247</v>
      </c>
      <c r="G49" s="31">
        <f t="shared" si="12"/>
        <v>360.88913434628853</v>
      </c>
      <c r="H49" s="31">
        <f t="shared" si="12"/>
        <v>349.44829674566637</v>
      </c>
      <c r="I49" s="31">
        <f t="shared" si="12"/>
        <v>372.39463218884424</v>
      </c>
      <c r="J49" s="31">
        <f t="shared" si="14"/>
        <v>313.1170139410132</v>
      </c>
      <c r="K49" s="32">
        <f t="shared" si="13"/>
        <v>378.65919212594025</v>
      </c>
      <c r="L49" s="31">
        <f t="shared" si="13"/>
        <v>485.3112941616454</v>
      </c>
    </row>
    <row r="50" spans="1:12" s="26" customFormat="1" ht="14.25">
      <c r="A50" s="33" t="s">
        <v>5</v>
      </c>
      <c r="B50" s="31">
        <f t="shared" si="12"/>
        <v>207.70370443451304</v>
      </c>
      <c r="C50" s="31">
        <f t="shared" si="12"/>
        <v>430.17552236751396</v>
      </c>
      <c r="D50" s="31">
        <f t="shared" si="12"/>
        <v>103.41060916485274</v>
      </c>
      <c r="E50" s="31">
        <f t="shared" si="12"/>
        <v>362.74952633042454</v>
      </c>
      <c r="F50" s="31">
        <f t="shared" si="12"/>
        <v>132.04245693160178</v>
      </c>
      <c r="G50" s="31">
        <f t="shared" si="12"/>
        <v>123.29809098637882</v>
      </c>
      <c r="H50" s="31">
        <f t="shared" si="12"/>
        <v>100.51844599929952</v>
      </c>
      <c r="I50" s="31">
        <f t="shared" si="12"/>
        <v>157.6461059562519</v>
      </c>
      <c r="J50" s="31">
        <f t="shared" si="14"/>
        <v>120.69497533154112</v>
      </c>
      <c r="K50" s="32">
        <f t="shared" si="13"/>
        <v>74.84807358253425</v>
      </c>
      <c r="L50" s="31">
        <f t="shared" si="13"/>
        <v>94.04712593998423</v>
      </c>
    </row>
    <row r="51" spans="1:12" s="26" customFormat="1" ht="14.25">
      <c r="A51" s="33" t="s">
        <v>6</v>
      </c>
      <c r="B51" s="31">
        <f t="shared" si="12"/>
        <v>0</v>
      </c>
      <c r="C51" s="31">
        <f t="shared" si="12"/>
        <v>0</v>
      </c>
      <c r="D51" s="31">
        <f t="shared" si="12"/>
        <v>0</v>
      </c>
      <c r="E51" s="31">
        <f t="shared" si="12"/>
        <v>104.4122529867125</v>
      </c>
      <c r="F51" s="31">
        <f t="shared" si="12"/>
        <v>84.50171031461676</v>
      </c>
      <c r="G51" s="31">
        <f t="shared" si="12"/>
        <v>0</v>
      </c>
      <c r="H51" s="31">
        <f t="shared" si="12"/>
        <v>0</v>
      </c>
      <c r="I51" s="31">
        <f t="shared" si="12"/>
        <v>69.56710477710352</v>
      </c>
      <c r="J51" s="31">
        <f t="shared" si="14"/>
        <v>68.97693411323253</v>
      </c>
      <c r="K51" s="32">
        <f t="shared" si="13"/>
        <v>0</v>
      </c>
      <c r="L51" s="31">
        <f t="shared" si="13"/>
        <v>0</v>
      </c>
    </row>
    <row r="52" spans="1:12" s="37" customFormat="1" ht="17.25">
      <c r="A52" s="34" t="s">
        <v>35</v>
      </c>
      <c r="B52" s="28">
        <f aca="true" t="shared" si="15" ref="B52:H59">+B19/(B27)*100</f>
        <v>2329.1488587775552</v>
      </c>
      <c r="C52" s="28">
        <f t="shared" si="15"/>
        <v>1875.1947522698263</v>
      </c>
      <c r="D52" s="28">
        <f t="shared" si="15"/>
        <v>1449.6459985391414</v>
      </c>
      <c r="E52" s="28">
        <f t="shared" si="15"/>
        <v>1205.3232324530181</v>
      </c>
      <c r="F52" s="28">
        <f t="shared" si="15"/>
        <v>1161.127142734875</v>
      </c>
      <c r="G52" s="28">
        <f t="shared" si="15"/>
        <v>980.409553491813</v>
      </c>
      <c r="H52" s="28">
        <f t="shared" si="15"/>
        <v>965.9425888579373</v>
      </c>
      <c r="I52" s="46" t="s">
        <v>45</v>
      </c>
      <c r="J52" s="28">
        <f aca="true" t="shared" si="16" ref="J52:L59">+J19/(J27)*100</f>
        <v>844.9583564372571</v>
      </c>
      <c r="K52" s="29">
        <f t="shared" si="16"/>
        <v>787.0317553034652</v>
      </c>
      <c r="L52" s="28">
        <f t="shared" si="16"/>
        <v>808.5571257980426</v>
      </c>
    </row>
    <row r="53" spans="1:12" s="26" customFormat="1" ht="16.5">
      <c r="A53" s="30" t="s">
        <v>36</v>
      </c>
      <c r="B53" s="31">
        <f t="shared" si="15"/>
        <v>3314.8730515857715</v>
      </c>
      <c r="C53" s="31">
        <f t="shared" si="15"/>
        <v>2677.558813985057</v>
      </c>
      <c r="D53" s="31">
        <f t="shared" si="15"/>
        <v>2031.4441035708</v>
      </c>
      <c r="E53" s="31">
        <f t="shared" si="15"/>
        <v>1691.9541970035616</v>
      </c>
      <c r="F53" s="31">
        <f t="shared" si="15"/>
        <v>1630.8441079578206</v>
      </c>
      <c r="G53" s="31">
        <f t="shared" si="15"/>
        <v>1399.793411202326</v>
      </c>
      <c r="H53" s="31">
        <f t="shared" si="15"/>
        <v>1388.881839897694</v>
      </c>
      <c r="I53" s="31">
        <v>1337.6542165246644</v>
      </c>
      <c r="J53" s="31">
        <f t="shared" si="16"/>
        <v>1252.1988274428618</v>
      </c>
      <c r="K53" s="32">
        <f t="shared" si="16"/>
        <v>1151.663321394469</v>
      </c>
      <c r="L53" s="31">
        <f t="shared" si="16"/>
        <v>1184.3350833711604</v>
      </c>
    </row>
    <row r="54" spans="1:12" s="26" customFormat="1" ht="14.25">
      <c r="A54" s="33" t="s">
        <v>1</v>
      </c>
      <c r="B54" s="31">
        <f t="shared" si="15"/>
        <v>2905.819400123308</v>
      </c>
      <c r="C54" s="31">
        <f t="shared" si="15"/>
        <v>2456.3962214695616</v>
      </c>
      <c r="D54" s="31">
        <f t="shared" si="15"/>
        <v>2121.073190918116</v>
      </c>
      <c r="E54" s="31">
        <f t="shared" si="15"/>
        <v>1638.9331676635934</v>
      </c>
      <c r="F54" s="31">
        <f t="shared" si="15"/>
        <v>1515.774295996852</v>
      </c>
      <c r="G54" s="31">
        <f t="shared" si="15"/>
        <v>896.6530206136466</v>
      </c>
      <c r="H54" s="31">
        <f t="shared" si="15"/>
        <v>910.1138712590284</v>
      </c>
      <c r="I54" s="31">
        <f>+I21/(I29)*100</f>
        <v>890.8516092277208</v>
      </c>
      <c r="J54" s="31">
        <f t="shared" si="16"/>
        <v>757.8079692888155</v>
      </c>
      <c r="K54" s="32">
        <f t="shared" si="16"/>
        <v>624.2488855336667</v>
      </c>
      <c r="L54" s="31">
        <f t="shared" si="16"/>
        <v>686.7451850457985</v>
      </c>
    </row>
    <row r="55" spans="1:12" s="26" customFormat="1" ht="16.5">
      <c r="A55" s="33" t="s">
        <v>2</v>
      </c>
      <c r="B55" s="31">
        <f t="shared" si="15"/>
        <v>27.240367882530276</v>
      </c>
      <c r="C55" s="31">
        <f t="shared" si="15"/>
        <v>36.02650741499109</v>
      </c>
      <c r="D55" s="31">
        <f t="shared" si="15"/>
        <v>117.83954561086591</v>
      </c>
      <c r="E55" s="31">
        <f t="shared" si="15"/>
        <v>127.87690734250619</v>
      </c>
      <c r="F55" s="31">
        <f t="shared" si="15"/>
        <v>142.4546229323494</v>
      </c>
      <c r="G55" s="31">
        <f t="shared" si="15"/>
        <v>118.57202529797632</v>
      </c>
      <c r="H55" s="31">
        <f t="shared" si="15"/>
        <v>63.70696622050433</v>
      </c>
      <c r="I55" s="47" t="s">
        <v>46</v>
      </c>
      <c r="J55" s="31">
        <f t="shared" si="16"/>
        <v>51.79628509052914</v>
      </c>
      <c r="K55" s="32">
        <f t="shared" si="16"/>
        <v>68.55058598832566</v>
      </c>
      <c r="L55" s="31">
        <f t="shared" si="16"/>
        <v>61.151496933541395</v>
      </c>
    </row>
    <row r="56" spans="1:12" s="26" customFormat="1" ht="16.5">
      <c r="A56" s="33" t="s">
        <v>3</v>
      </c>
      <c r="B56" s="31">
        <f t="shared" si="15"/>
        <v>93.45755162811439</v>
      </c>
      <c r="C56" s="31">
        <f t="shared" si="15"/>
        <v>131.67607524081376</v>
      </c>
      <c r="D56" s="31">
        <f t="shared" si="15"/>
        <v>96.27488891380452</v>
      </c>
      <c r="E56" s="31">
        <f t="shared" si="15"/>
        <v>100.77615273432157</v>
      </c>
      <c r="F56" s="31">
        <f t="shared" si="15"/>
        <v>126.57947390296711</v>
      </c>
      <c r="G56" s="31">
        <f t="shared" si="15"/>
        <v>99.50595386043437</v>
      </c>
      <c r="H56" s="31">
        <f t="shared" si="15"/>
        <v>98.83325377092501</v>
      </c>
      <c r="I56" s="47" t="s">
        <v>47</v>
      </c>
      <c r="J56" s="31">
        <f t="shared" si="16"/>
        <v>79.60802493438834</v>
      </c>
      <c r="K56" s="32">
        <f t="shared" si="16"/>
        <v>86.48840138644367</v>
      </c>
      <c r="L56" s="31">
        <f t="shared" si="16"/>
        <v>105.74128334652475</v>
      </c>
    </row>
    <row r="57" spans="1:12" s="26" customFormat="1" ht="14.25">
      <c r="A57" s="33" t="s">
        <v>4</v>
      </c>
      <c r="B57" s="31">
        <f t="shared" si="15"/>
        <v>2176.641076042825</v>
      </c>
      <c r="C57" s="31">
        <f t="shared" si="15"/>
        <v>1147.2597046578617</v>
      </c>
      <c r="D57" s="31">
        <f t="shared" si="15"/>
        <v>928.1885656756284</v>
      </c>
      <c r="E57" s="31">
        <f t="shared" si="15"/>
        <v>682.3462365961611</v>
      </c>
      <c r="F57" s="31">
        <f t="shared" si="15"/>
        <v>701.7123762534484</v>
      </c>
      <c r="G57" s="31">
        <f t="shared" si="15"/>
        <v>591.1272656254397</v>
      </c>
      <c r="H57" s="31">
        <f t="shared" si="15"/>
        <v>713.6490281824426</v>
      </c>
      <c r="I57" s="31">
        <f>+I24/(I32)*100</f>
        <v>661.2056996379077</v>
      </c>
      <c r="J57" s="31">
        <f t="shared" si="16"/>
        <v>422.5806854813674</v>
      </c>
      <c r="K57" s="32">
        <f t="shared" si="16"/>
        <v>516.4623791337982</v>
      </c>
      <c r="L57" s="31">
        <f t="shared" si="16"/>
        <v>556.7955814489763</v>
      </c>
    </row>
    <row r="58" spans="1:12" s="26" customFormat="1" ht="14.25">
      <c r="A58" s="33" t="s">
        <v>5</v>
      </c>
      <c r="B58" s="31">
        <f t="shared" si="15"/>
        <v>1051.5000036997224</v>
      </c>
      <c r="C58" s="31">
        <f t="shared" si="15"/>
        <v>943.996285195378</v>
      </c>
      <c r="D58" s="31">
        <f t="shared" si="15"/>
        <v>278.41317852075736</v>
      </c>
      <c r="E58" s="31">
        <f t="shared" si="15"/>
        <v>744.2619591951815</v>
      </c>
      <c r="F58" s="31">
        <f t="shared" si="15"/>
        <v>198.06368539740268</v>
      </c>
      <c r="G58" s="31">
        <f t="shared" si="15"/>
        <v>289.482474489759</v>
      </c>
      <c r="H58" s="31">
        <f t="shared" si="15"/>
        <v>313.6175515178145</v>
      </c>
      <c r="I58" s="31">
        <f>+I25/(I33)*100</f>
        <v>485.06494140385195</v>
      </c>
      <c r="J58" s="31">
        <f t="shared" si="16"/>
        <v>407.63019970463887</v>
      </c>
      <c r="K58" s="32">
        <f t="shared" si="16"/>
        <v>262.97971799268794</v>
      </c>
      <c r="L58" s="31">
        <f t="shared" si="16"/>
        <v>301.3346688281127</v>
      </c>
    </row>
    <row r="59" spans="1:12" s="26" customFormat="1" ht="17.25" thickBot="1">
      <c r="A59" s="48" t="s">
        <v>6</v>
      </c>
      <c r="B59" s="49">
        <f t="shared" si="15"/>
        <v>161.96246681793963</v>
      </c>
      <c r="C59" s="49">
        <f t="shared" si="15"/>
        <v>203.65147087274838</v>
      </c>
      <c r="D59" s="49">
        <f t="shared" si="15"/>
        <v>101.92931813363342</v>
      </c>
      <c r="E59" s="49">
        <f t="shared" si="15"/>
        <v>104.4122529867125</v>
      </c>
      <c r="F59" s="49">
        <f t="shared" si="15"/>
        <v>84.50171031461676</v>
      </c>
      <c r="G59" s="49">
        <f t="shared" si="15"/>
        <v>87.31626474990001</v>
      </c>
      <c r="H59" s="49">
        <f t="shared" si="15"/>
        <v>69.34197241853704</v>
      </c>
      <c r="I59" s="50" t="s">
        <v>48</v>
      </c>
      <c r="J59" s="49">
        <f t="shared" si="16"/>
        <v>206.93080233969764</v>
      </c>
      <c r="K59" s="51">
        <f t="shared" si="16"/>
        <v>0</v>
      </c>
      <c r="L59" s="49">
        <f t="shared" si="16"/>
        <v>61.60768962538828</v>
      </c>
    </row>
    <row r="60" spans="1:11" s="4" customFormat="1" ht="12" customHeight="1">
      <c r="A60" s="6" t="s">
        <v>10</v>
      </c>
      <c r="B60" s="5"/>
      <c r="C60" s="5"/>
      <c r="D60" s="5"/>
      <c r="E60" s="5"/>
      <c r="F60" s="5"/>
      <c r="G60" s="5"/>
      <c r="H60" s="5"/>
      <c r="I60" s="5"/>
      <c r="J60" s="5"/>
      <c r="K60" s="11"/>
    </row>
    <row r="61" spans="1:11" s="37" customFormat="1" ht="12" customHeight="1">
      <c r="A61" s="34"/>
      <c r="B61" s="28"/>
      <c r="C61" s="28"/>
      <c r="D61" s="28"/>
      <c r="E61" s="28"/>
      <c r="F61" s="28"/>
      <c r="G61" s="28"/>
      <c r="H61" s="28"/>
      <c r="I61" s="28"/>
      <c r="J61" s="28"/>
      <c r="K61" s="29"/>
    </row>
    <row r="62" spans="1:11" s="4" customFormat="1" ht="23.25" customHeight="1">
      <c r="A62" s="17" t="s">
        <v>11</v>
      </c>
      <c r="B62" s="17"/>
      <c r="C62" s="17"/>
      <c r="D62" s="17"/>
      <c r="E62" s="52"/>
      <c r="F62" s="52"/>
      <c r="G62" s="53"/>
      <c r="H62" s="8"/>
      <c r="I62" s="8"/>
      <c r="J62" s="8"/>
      <c r="K62" s="11"/>
    </row>
    <row r="63" spans="1:11" s="4" customFormat="1" ht="12" customHeight="1">
      <c r="A63" s="18" t="s">
        <v>8</v>
      </c>
      <c r="B63" s="54"/>
      <c r="C63" s="54"/>
      <c r="D63" s="54"/>
      <c r="E63" s="54"/>
      <c r="F63" s="54"/>
      <c r="G63" s="53"/>
      <c r="H63" s="5"/>
      <c r="I63" s="5"/>
      <c r="J63" s="5"/>
      <c r="K63" s="11"/>
    </row>
    <row r="64" spans="1:11" s="4" customFormat="1" ht="12" customHeight="1">
      <c r="A64" s="18" t="s">
        <v>9</v>
      </c>
      <c r="B64" s="18"/>
      <c r="C64" s="18"/>
      <c r="D64" s="18"/>
      <c r="E64" s="18"/>
      <c r="F64" s="18"/>
      <c r="G64" s="53"/>
      <c r="H64" s="7"/>
      <c r="I64" s="7"/>
      <c r="J64" s="7"/>
      <c r="K64" s="11"/>
    </row>
    <row r="65" spans="1:11" s="4" customFormat="1" ht="23.25" customHeight="1">
      <c r="A65" s="19" t="s">
        <v>14</v>
      </c>
      <c r="B65" s="19"/>
      <c r="C65" s="19"/>
      <c r="D65" s="19"/>
      <c r="E65" s="54"/>
      <c r="F65" s="54"/>
      <c r="G65" s="53"/>
      <c r="H65" s="53"/>
      <c r="I65" s="7"/>
      <c r="J65" s="7"/>
      <c r="K65" s="11"/>
    </row>
    <row r="66" spans="1:11" s="4" customFormat="1" ht="14.25" customHeight="1">
      <c r="A66" s="14"/>
      <c r="B66" s="14"/>
      <c r="C66" s="14"/>
      <c r="D66" s="14"/>
      <c r="E66" s="55"/>
      <c r="F66" s="55"/>
      <c r="G66" s="7"/>
      <c r="H66" s="7"/>
      <c r="I66" s="7"/>
      <c r="J66" s="7"/>
      <c r="K66" s="11"/>
    </row>
    <row r="67" spans="1:11" s="4" customFormat="1" ht="12" customHeight="1">
      <c r="A67" s="6" t="s">
        <v>16</v>
      </c>
      <c r="B67" s="5"/>
      <c r="C67" s="5"/>
      <c r="D67" s="5"/>
      <c r="E67" s="5"/>
      <c r="F67" s="5"/>
      <c r="G67" s="5"/>
      <c r="H67" s="5"/>
      <c r="I67" s="5"/>
      <c r="J67" s="5"/>
      <c r="K67" s="11"/>
    </row>
    <row r="68" spans="1:11" s="4" customFormat="1" ht="47.25" customHeight="1">
      <c r="A68" s="20" t="s">
        <v>15</v>
      </c>
      <c r="B68" s="21"/>
      <c r="C68" s="21"/>
      <c r="D68" s="21"/>
      <c r="E68" s="22"/>
      <c r="F68" s="22"/>
      <c r="G68" s="53"/>
      <c r="H68" s="53"/>
      <c r="I68" s="5"/>
      <c r="J68" s="5"/>
      <c r="K68" s="11"/>
    </row>
    <row r="69" spans="1:11" ht="24.75" customHeight="1">
      <c r="A69" s="20" t="s">
        <v>13</v>
      </c>
      <c r="B69" s="20"/>
      <c r="C69" s="20"/>
      <c r="D69" s="20"/>
      <c r="E69" s="20"/>
      <c r="F69" s="20"/>
      <c r="G69" s="56"/>
      <c r="H69" s="56"/>
      <c r="I69" s="13"/>
      <c r="J69" s="5"/>
      <c r="K69" s="1"/>
    </row>
    <row r="70" spans="1:11" ht="8.25" customHeight="1">
      <c r="A70" s="13"/>
      <c r="B70" s="13"/>
      <c r="C70" s="13"/>
      <c r="D70" s="13"/>
      <c r="E70" s="13"/>
      <c r="F70" s="13"/>
      <c r="G70" s="13"/>
      <c r="H70" s="13"/>
      <c r="I70" s="13"/>
      <c r="J70" s="5"/>
      <c r="K70" s="1"/>
    </row>
    <row r="71" spans="1:11" s="4" customFormat="1" ht="13.5" customHeight="1">
      <c r="A71" s="6" t="s">
        <v>18</v>
      </c>
      <c r="B71" s="5"/>
      <c r="C71" s="5"/>
      <c r="D71" s="5"/>
      <c r="E71" s="5"/>
      <c r="F71" s="5"/>
      <c r="G71" s="5"/>
      <c r="H71" s="5"/>
      <c r="I71" s="5"/>
      <c r="J71" s="5"/>
      <c r="K71" s="11"/>
    </row>
    <row r="72" spans="1:11" s="4" customFormat="1" ht="24" customHeight="1">
      <c r="A72" s="15" t="s">
        <v>17</v>
      </c>
      <c r="B72" s="16"/>
      <c r="C72" s="16"/>
      <c r="D72" s="16"/>
      <c r="E72" s="54"/>
      <c r="F72" s="54"/>
      <c r="G72" s="53"/>
      <c r="H72" s="53"/>
      <c r="I72" s="9"/>
      <c r="J72" s="9"/>
      <c r="K72" s="11"/>
    </row>
    <row r="73" spans="1:11" s="4" customFormat="1" ht="12" customHeight="1">
      <c r="A73" s="5"/>
      <c r="B73" s="5"/>
      <c r="C73" s="5"/>
      <c r="D73" s="5"/>
      <c r="E73" s="5"/>
      <c r="F73" s="5"/>
      <c r="G73" s="5"/>
      <c r="H73" s="5"/>
      <c r="I73" s="5"/>
      <c r="K73" s="11"/>
    </row>
    <row r="74" spans="1:11" s="4" customFormat="1" ht="12" customHeight="1">
      <c r="A74" s="1"/>
      <c r="B74" s="5"/>
      <c r="C74" s="5"/>
      <c r="D74" s="5"/>
      <c r="E74" s="5"/>
      <c r="F74" s="5"/>
      <c r="G74" s="5"/>
      <c r="H74" s="5"/>
      <c r="I74" s="5"/>
      <c r="J74" s="5"/>
      <c r="K74" s="11"/>
    </row>
    <row r="75" spans="1:11" s="4" customFormat="1" ht="12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1"/>
    </row>
    <row r="76" spans="1:11" s="4" customFormat="1" ht="12" customHeight="1">
      <c r="A76" s="1"/>
      <c r="B76" s="9"/>
      <c r="C76" s="9"/>
      <c r="D76" s="9"/>
      <c r="E76" s="9"/>
      <c r="F76" s="9"/>
      <c r="G76" s="9"/>
      <c r="H76" s="9"/>
      <c r="I76" s="9"/>
      <c r="J76" s="9"/>
      <c r="K76" s="11"/>
    </row>
    <row r="85" spans="5:6" ht="12.75">
      <c r="E85" s="2"/>
      <c r="F85" s="2"/>
    </row>
    <row r="86" spans="5:6" ht="12.75">
      <c r="E86" s="2"/>
      <c r="F86" s="2"/>
    </row>
  </sheetData>
  <mergeCells count="9">
    <mergeCell ref="A35:L35"/>
    <mergeCell ref="A68:H68"/>
    <mergeCell ref="A69:H69"/>
    <mergeCell ref="A1:L1"/>
    <mergeCell ref="A72:H72"/>
    <mergeCell ref="A62:G62"/>
    <mergeCell ref="A63:G63"/>
    <mergeCell ref="A64:G64"/>
    <mergeCell ref="A65:H65"/>
  </mergeCells>
  <printOptions/>
  <pageMargins left="0.5" right="0.5" top="0.5" bottom="0.5" header="0.25" footer="0.25"/>
  <pageSetup horizontalDpi="300" verticalDpi="300" orientation="portrait" scale="59" r:id="rId1"/>
  <headerFooter alignWithMargins="0">
    <oddFooter>&amp;L&amp;D&amp;RNTS 2002, FTA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Ben Chang</cp:lastModifiedBy>
  <cp:lastPrinted>2002-10-31T23:19:26Z</cp:lastPrinted>
  <dcterms:created xsi:type="dcterms:W3CDTF">1999-07-20T12:02:41Z</dcterms:created>
  <dcterms:modified xsi:type="dcterms:W3CDTF">2002-12-10T18:01:53Z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