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032" windowWidth="8172" windowHeight="5436" activeTab="0"/>
  </bookViews>
  <sheets>
    <sheet name="1-61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'1-61'!$A$1:$U$19</definedName>
    <definedName name="Sum_T2">'[1]1997  Table 1a Modified'!#REF!</definedName>
    <definedName name="Sum_TTM">'[1]1997  Table 1a Modified'!#REF!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<sst xmlns="http://schemas.openxmlformats.org/spreadsheetml/2006/main" count="35" uniqueCount="35">
  <si>
    <t>Operations delayed (thousands)</t>
  </si>
  <si>
    <t>Weather</t>
  </si>
  <si>
    <t>Airport terminal volume</t>
  </si>
  <si>
    <t>Other</t>
  </si>
  <si>
    <t>National Airspace System equipment</t>
  </si>
  <si>
    <t>NOTE</t>
  </si>
  <si>
    <t>SOURCES</t>
  </si>
  <si>
    <t>Closed runways / taxiways</t>
  </si>
  <si>
    <t>Air Route Traffic Control Center volume</t>
  </si>
  <si>
    <t>Cause (percent)</t>
  </si>
  <si>
    <r>
      <t xml:space="preserve">1987-97: U.S. Department of Transportation, Federal Aviation Administration, </t>
    </r>
    <r>
      <rPr>
        <i/>
        <sz val="9"/>
        <rFont val="Arial"/>
        <family val="2"/>
      </rPr>
      <t>Aviation Capacity Enhancement Plan</t>
    </r>
    <r>
      <rPr>
        <sz val="9"/>
        <rFont val="Arial"/>
        <family val="2"/>
      </rPr>
      <t xml:space="preserve"> (Washington, DC: Annual issues). </t>
    </r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</si>
  <si>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</si>
  <si>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</si>
  <si>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</si>
  <si>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</si>
  <si>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</si>
  <si>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</si>
  <si>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</si>
  <si>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</si>
  <si>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</si>
  <si>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</si>
  <si>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</si>
  <si>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</si>
  <si>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Table 1-61:  FAA-Cited Causes of Departure and En route Delays (After pushing back from the gate)</t>
  </si>
  <si>
    <t>2002</t>
  </si>
  <si>
    <r>
      <t xml:space="preserve"> </t>
    </r>
    <r>
      <rPr>
        <b/>
        <sz val="11"/>
        <rFont val="Arial Narrow"/>
        <family val="2"/>
      </rPr>
      <t>2000</t>
    </r>
  </si>
  <si>
    <t xml:space="preserve"> 2001</t>
  </si>
  <si>
    <r>
      <t>KEY:</t>
    </r>
    <r>
      <rPr>
        <sz val="9"/>
        <rFont val="Arial"/>
        <family val="2"/>
      </rPr>
      <t xml:space="preserve">  FAA = Federal Aviation Administration.</t>
    </r>
  </si>
  <si>
    <t>2004</t>
  </si>
  <si>
    <t xml:space="preserve">1998-99: U.S. Department of Transportation, Federal Aviation Administration, Internet site http://www.faa.gov/apa/Delays/atDelays.htm as of Aug. 8, 2002. </t>
  </si>
  <si>
    <t>Numbers may not add to totals due to rounding.</t>
  </si>
  <si>
    <t>2005</t>
  </si>
  <si>
    <t>1987</t>
  </si>
  <si>
    <t>2006</t>
  </si>
  <si>
    <t>2000-06: Ibid., Operations Network (OPSNET) database query, Internet site http://www.apo.data.faa.gov/ as of Feb. 21, 2007.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</si>
</sst>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0.0000"/>
    <numFmt numFmtId="167" formatCode="0.000"/>
    <numFmt numFmtId="168" formatCode="0.0"/>
    <numFmt numFmtId="169" formatCode="0.0000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vertAlign val="superscript"/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26" fillId="0" borderId="0" applyNumberFormat="0" applyFill="0" applyBorder="0" applyAlignment="0" applyProtection="0"/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9" fillId="0" borderId="1">
      <alignment horizontal="left"/>
      <protection/>
    </xf>
  </cellStyleXfs>
  <cellXfs count="51">
    <xf numFmtId="0" fontId="0" fillId="0" borderId="0" xfId="0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6" fillId="0" borderId="5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2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/>
    </xf>
    <xf numFmtId="49" fontId="18" fillId="0" borderId="0" xfId="0" applyNumberFormat="1" applyFont="1" applyFill="1" applyAlignment="1">
      <alignment horizontal="left"/>
    </xf>
    <xf numFmtId="0" fontId="22" fillId="0" borderId="0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18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17" fillId="0" borderId="0" xfId="0" applyFont="1" applyFill="1" applyBorder="1" applyAlignment="1">
      <alignment/>
    </xf>
    <xf numFmtId="0" fontId="16" fillId="0" borderId="6" xfId="0" applyFont="1" applyFill="1" applyBorder="1" applyAlignment="1">
      <alignment horizontal="center"/>
    </xf>
    <xf numFmtId="49" fontId="17" fillId="0" borderId="6" xfId="0" applyNumberFormat="1" applyFont="1" applyFill="1" applyBorder="1" applyAlignment="1">
      <alignment horizontal="center"/>
    </xf>
    <xf numFmtId="49" fontId="24" fillId="0" borderId="6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/>
    </xf>
    <xf numFmtId="1" fontId="16" fillId="0" borderId="0" xfId="0" applyNumberFormat="1" applyFont="1" applyFill="1" applyBorder="1" applyAlignment="1">
      <alignment/>
    </xf>
    <xf numFmtId="1" fontId="16" fillId="0" borderId="5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" fontId="17" fillId="0" borderId="0" xfId="0" applyNumberFormat="1" applyFont="1" applyFill="1" applyBorder="1" applyAlignment="1">
      <alignment/>
    </xf>
    <xf numFmtId="1" fontId="17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6" fillId="0" borderId="5" xfId="0" applyFont="1" applyFill="1" applyBorder="1" applyAlignment="1">
      <alignment/>
    </xf>
    <xf numFmtId="0" fontId="20" fillId="0" borderId="0" xfId="0" applyFont="1" applyFill="1" applyBorder="1" applyAlignment="1">
      <alignment vertical="top"/>
    </xf>
    <xf numFmtId="0" fontId="21" fillId="0" borderId="0" xfId="0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14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1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8" fillId="0" borderId="7" xfId="0" applyFont="1" applyFill="1" applyBorder="1" applyAlignment="1">
      <alignment vertical="top" wrapText="1"/>
    </xf>
    <xf numFmtId="0" fontId="19" fillId="0" borderId="7" xfId="0" applyFont="1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19" fillId="0" borderId="0" xfId="0" applyNumberFormat="1" applyFont="1" applyFill="1" applyAlignment="1">
      <alignment horizontal="left" wrapText="1"/>
    </xf>
    <xf numFmtId="0" fontId="18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5" xfId="0" applyBorder="1" applyAlignment="1">
      <alignment wrapText="1"/>
    </xf>
  </cellXfs>
  <cellStyles count="44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Followed Hyperlink" xfId="25"/>
    <cellStyle name="Hed Side" xfId="26"/>
    <cellStyle name="Hed Side bold" xfId="27"/>
    <cellStyle name="Hed Side Indent" xfId="28"/>
    <cellStyle name="Hed Side Regular" xfId="29"/>
    <cellStyle name="Hed Side_1-1A-Regular" xfId="30"/>
    <cellStyle name="Hed Top" xfId="31"/>
    <cellStyle name="Hed Top - SECTION" xfId="32"/>
    <cellStyle name="Hed Top_3-new4" xfId="33"/>
    <cellStyle name="Hyperlink" xfId="34"/>
    <cellStyle name="Percent" xfId="35"/>
    <cellStyle name="Reference" xfId="36"/>
    <cellStyle name="Row heading" xfId="37"/>
    <cellStyle name="Source Hed" xfId="38"/>
    <cellStyle name="Source Letter" xfId="39"/>
    <cellStyle name="Source Superscript" xfId="40"/>
    <cellStyle name="Source Text" xfId="41"/>
    <cellStyle name="State" xfId="42"/>
    <cellStyle name="Superscript" xfId="43"/>
    <cellStyle name="Table Data" xfId="44"/>
    <cellStyle name="Table Head Top" xfId="45"/>
    <cellStyle name="Table Hed Side" xfId="46"/>
    <cellStyle name="Table Title" xfId="47"/>
    <cellStyle name="Title Text" xfId="48"/>
    <cellStyle name="Title Text 1" xfId="49"/>
    <cellStyle name="Title Text 2" xfId="50"/>
    <cellStyle name="Title-1" xfId="51"/>
    <cellStyle name="Title-2" xfId="52"/>
    <cellStyle name="Title-3" xfId="53"/>
    <cellStyle name="Wrap" xfId="54"/>
    <cellStyle name="Wrap Bold" xfId="55"/>
    <cellStyle name="Wrap Title" xfId="56"/>
    <cellStyle name="Wrap_NTS99-~11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bco-fs1\DOTPrj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tabSelected="1" workbookViewId="0" topLeftCell="A1">
      <selection activeCell="A1" sqref="A1:U1"/>
    </sheetView>
  </sheetViews>
  <sheetFormatPr defaultColWidth="9.140625" defaultRowHeight="12.75"/>
  <cols>
    <col min="1" max="1" width="30.140625" style="2" customWidth="1"/>
    <col min="2" max="21" width="7.7109375" style="2" customWidth="1"/>
    <col min="22" max="16384" width="9.140625" style="2" customWidth="1"/>
  </cols>
  <sheetData>
    <row r="1" spans="1:21" s="1" customFormat="1" ht="18" thickBot="1">
      <c r="A1" s="40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50"/>
    </row>
    <row r="2" spans="1:21" s="28" customFormat="1" ht="15.75">
      <c r="A2" s="25"/>
      <c r="B2" s="26" t="s">
        <v>32</v>
      </c>
      <c r="C2" s="26" t="s">
        <v>11</v>
      </c>
      <c r="D2" s="26" t="s">
        <v>12</v>
      </c>
      <c r="E2" s="26" t="s">
        <v>13</v>
      </c>
      <c r="F2" s="26" t="s">
        <v>14</v>
      </c>
      <c r="G2" s="26" t="s">
        <v>15</v>
      </c>
      <c r="H2" s="26" t="s">
        <v>16</v>
      </c>
      <c r="I2" s="26" t="s">
        <v>17</v>
      </c>
      <c r="J2" s="26" t="s">
        <v>18</v>
      </c>
      <c r="K2" s="26" t="s">
        <v>19</v>
      </c>
      <c r="L2" s="26" t="s">
        <v>20</v>
      </c>
      <c r="M2" s="26" t="s">
        <v>21</v>
      </c>
      <c r="N2" s="26" t="s">
        <v>22</v>
      </c>
      <c r="O2" s="27" t="s">
        <v>25</v>
      </c>
      <c r="P2" s="26" t="s">
        <v>26</v>
      </c>
      <c r="Q2" s="26" t="s">
        <v>24</v>
      </c>
      <c r="R2" s="26">
        <v>2003</v>
      </c>
      <c r="S2" s="26" t="s">
        <v>28</v>
      </c>
      <c r="T2" s="26" t="s">
        <v>31</v>
      </c>
      <c r="U2" s="26" t="s">
        <v>33</v>
      </c>
    </row>
    <row r="3" spans="1:21" ht="13.5">
      <c r="A3" s="24" t="s">
        <v>0</v>
      </c>
      <c r="B3" s="31">
        <v>356</v>
      </c>
      <c r="C3" s="31">
        <v>338</v>
      </c>
      <c r="D3" s="31">
        <v>394</v>
      </c>
      <c r="E3" s="32">
        <v>392.803</v>
      </c>
      <c r="F3" s="32">
        <v>298.322</v>
      </c>
      <c r="G3" s="32">
        <v>280.822</v>
      </c>
      <c r="H3" s="32">
        <v>275.751</v>
      </c>
      <c r="I3" s="32">
        <v>247.709</v>
      </c>
      <c r="J3" s="32">
        <v>236.802</v>
      </c>
      <c r="K3" s="32">
        <v>271.507</v>
      </c>
      <c r="L3" s="32">
        <v>245.259</v>
      </c>
      <c r="M3" s="32">
        <v>306.234</v>
      </c>
      <c r="N3" s="33">
        <v>374.116</v>
      </c>
      <c r="O3" s="33">
        <v>450.289</v>
      </c>
      <c r="P3" s="33">
        <v>348.103</v>
      </c>
      <c r="Q3" s="33">
        <v>285.649</v>
      </c>
      <c r="R3" s="33">
        <v>316.888</v>
      </c>
      <c r="S3" s="33">
        <v>455.414</v>
      </c>
      <c r="T3" s="33">
        <v>437.667</v>
      </c>
      <c r="U3" s="33">
        <v>491.86</v>
      </c>
    </row>
    <row r="4" spans="1:21" ht="13.5">
      <c r="A4" s="7" t="s">
        <v>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4"/>
      <c r="O4" s="34"/>
      <c r="P4" s="34"/>
      <c r="Q4" s="34"/>
      <c r="R4" s="34"/>
      <c r="S4" s="34"/>
      <c r="T4" s="34"/>
      <c r="U4" s="34"/>
    </row>
    <row r="5" spans="1:21" ht="13.5">
      <c r="A5" s="5" t="s">
        <v>1</v>
      </c>
      <c r="B5" s="6">
        <v>67</v>
      </c>
      <c r="C5" s="6">
        <v>70</v>
      </c>
      <c r="D5" s="6">
        <v>57</v>
      </c>
      <c r="E5" s="29">
        <f>(219662/$E$3)/10</f>
        <v>55.92167065933815</v>
      </c>
      <c r="F5" s="29">
        <f>(194867/$F$3)/10</f>
        <v>65.32102895528992</v>
      </c>
      <c r="G5" s="29">
        <f>(182293/$G$3)/10</f>
        <v>64.91407368368576</v>
      </c>
      <c r="H5" s="29">
        <f>(197886/$H$3)/10</f>
        <v>71.7625684041037</v>
      </c>
      <c r="I5" s="29">
        <f>(184630/$I$3)/10</f>
        <v>74.53503909829679</v>
      </c>
      <c r="J5" s="29">
        <f>(171549/$J$3)/10</f>
        <v>72.44406719537842</v>
      </c>
      <c r="K5" s="29">
        <f>(200930/$K$3)/10</f>
        <v>74.0054584228031</v>
      </c>
      <c r="L5" s="29">
        <f>(166783/$L$3)/10</f>
        <v>68.00280519777053</v>
      </c>
      <c r="M5" s="29">
        <f>(227764/$M$3)/10</f>
        <v>74.37580412364402</v>
      </c>
      <c r="N5" s="29">
        <f>(257261/$N$3)/10</f>
        <v>68.76503544355226</v>
      </c>
      <c r="O5" s="29">
        <f>(309482/$O$3)/10</f>
        <v>68.72963807687952</v>
      </c>
      <c r="P5" s="29">
        <f>(249458/$P$3)/10</f>
        <v>71.66212299233273</v>
      </c>
      <c r="Q5" s="29">
        <f>(204741/$Q$3)/10</f>
        <v>71.67572790382602</v>
      </c>
      <c r="R5" s="29">
        <f>(228498/$R$3)/10</f>
        <v>72.1068642548787</v>
      </c>
      <c r="S5" s="29">
        <f>(319112/$S$3)/10</f>
        <v>70.0707488131678</v>
      </c>
      <c r="T5" s="29">
        <f>(300199/$T$3)/10</f>
        <v>68.59073222335704</v>
      </c>
      <c r="U5" s="29">
        <f>(322864/$U$3)/10</f>
        <v>65.64144268694344</v>
      </c>
    </row>
    <row r="6" spans="1:21" ht="13.5">
      <c r="A6" s="5" t="s">
        <v>2</v>
      </c>
      <c r="B6" s="6">
        <v>11</v>
      </c>
      <c r="C6" s="6">
        <v>9</v>
      </c>
      <c r="D6" s="6">
        <v>29</v>
      </c>
      <c r="E6" s="29">
        <f>(130379/$E$3)/10</f>
        <v>33.19195627324639</v>
      </c>
      <c r="F6" s="29">
        <f>(76252/$F$3)/10</f>
        <v>25.560300614771958</v>
      </c>
      <c r="G6" s="29">
        <f>(71453/$G$3)/10</f>
        <v>25.444231577298076</v>
      </c>
      <c r="H6" s="29">
        <f>(56821/$H$3)/10</f>
        <v>20.605908954092644</v>
      </c>
      <c r="I6" s="29">
        <f>(45134/$I$3)/10</f>
        <v>18.22057333403308</v>
      </c>
      <c r="J6" s="29">
        <f>(41325/$J$3)/10</f>
        <v>17.451288418172144</v>
      </c>
      <c r="K6" s="29">
        <f>(45470/$K$3)/10</f>
        <v>16.747266184665587</v>
      </c>
      <c r="L6" s="29">
        <f>(49688/$L$3)/10</f>
        <v>20.259399247326296</v>
      </c>
      <c r="M6" s="29">
        <f>(39231/$M$3)/10</f>
        <v>12.810791747487215</v>
      </c>
      <c r="N6" s="29">
        <f>(30164/$N$3)/10</f>
        <v>8.0627398988549</v>
      </c>
      <c r="O6" s="29">
        <f>(49956/$O$3)/10</f>
        <v>11.094208386169772</v>
      </c>
      <c r="P6" s="29">
        <f>(31609/$P$3)/10</f>
        <v>9.080358399669063</v>
      </c>
      <c r="Q6" s="29">
        <f>(25200/$Q$3)/10</f>
        <v>8.822015830617296</v>
      </c>
      <c r="R6" s="29">
        <f>(20672/$R$3)/10</f>
        <v>6.523440458458509</v>
      </c>
      <c r="S6" s="29">
        <f>(44083/$S$3)/10</f>
        <v>9.679763907126263</v>
      </c>
      <c r="T6" s="29">
        <f>(49638/$T$3)/10</f>
        <v>11.341499359101784</v>
      </c>
      <c r="U6" s="29">
        <f>(62037/$U$3)/10</f>
        <v>12.612735331191804</v>
      </c>
    </row>
    <row r="7" spans="1:21" ht="13.5">
      <c r="A7" s="5" t="s">
        <v>8</v>
      </c>
      <c r="B7" s="6">
        <v>13</v>
      </c>
      <c r="C7" s="6">
        <v>12</v>
      </c>
      <c r="D7" s="6">
        <v>8</v>
      </c>
      <c r="E7" s="29">
        <f>(8146/$E$3)/10</f>
        <v>2.073813081875648</v>
      </c>
      <c r="F7" s="29">
        <f>(3694/$F$3)/10</f>
        <v>1.2382593305220533</v>
      </c>
      <c r="G7" s="29">
        <f>(4802/$G$3)/10</f>
        <v>1.7099799873229304</v>
      </c>
      <c r="H7" s="29">
        <f>(2760/$H$3)/10</f>
        <v>1.0009029885657714</v>
      </c>
      <c r="I7" s="29">
        <f>(2608/$I$3)/10</f>
        <v>1.052848301838044</v>
      </c>
      <c r="J7" s="29">
        <f>(2396/$J$3)/10</f>
        <v>1.0118157785829511</v>
      </c>
      <c r="K7" s="29">
        <f>(4638/$K$3)/10</f>
        <v>1.7082432497136353</v>
      </c>
      <c r="L7" s="29">
        <f>(4727/$L$3)/10</f>
        <v>1.9273502705303376</v>
      </c>
      <c r="M7" s="29">
        <f>(5701/$M$3)/10</f>
        <v>1.861648282032694</v>
      </c>
      <c r="N7" s="29">
        <f>(14153/$N$3)/10</f>
        <v>3.783051246137562</v>
      </c>
      <c r="O7" s="29">
        <f>(13092/$O$3)/10</f>
        <v>2.9074660939974106</v>
      </c>
      <c r="P7" s="29">
        <f>(10136/$P$3)/10</f>
        <v>2.9117818576685637</v>
      </c>
      <c r="Q7" s="29">
        <f>(14512/$Q$3)/10</f>
        <v>5.080360862457072</v>
      </c>
      <c r="R7" s="29">
        <f>(13441/$R$3)/10</f>
        <v>4.241561687410063</v>
      </c>
      <c r="S7" s="29">
        <f>(22177/$S$3)/10</f>
        <v>4.869635101248535</v>
      </c>
      <c r="T7" s="29">
        <f>(16569/$T$3)/10</f>
        <v>3.7857549232635774</v>
      </c>
      <c r="U7" s="29">
        <f>(14830/$U$3)/10</f>
        <v>3.0150855934615537</v>
      </c>
    </row>
    <row r="8" spans="1:21" ht="13.5">
      <c r="A8" s="5" t="s">
        <v>7</v>
      </c>
      <c r="B8" s="6">
        <v>4</v>
      </c>
      <c r="C8" s="6">
        <v>5</v>
      </c>
      <c r="D8" s="6">
        <v>3</v>
      </c>
      <c r="E8" s="29">
        <f>(11950/$E$3)/10</f>
        <v>3.0422374574532274</v>
      </c>
      <c r="F8" s="29">
        <f>(10210/$F$3)/10</f>
        <v>3.422476384577738</v>
      </c>
      <c r="G8" s="29">
        <f>(8714/$G$3)/10</f>
        <v>3.1030332381366135</v>
      </c>
      <c r="H8" s="29">
        <f>(8034/$H$3)/10</f>
        <v>2.9134980471512346</v>
      </c>
      <c r="I8" s="29">
        <f>(5744/$I$3)/10</f>
        <v>2.3188499408580228</v>
      </c>
      <c r="J8" s="29">
        <f>(6686/$J$3)/10</f>
        <v>2.8234558829739616</v>
      </c>
      <c r="K8" s="29">
        <f>(7947/$K$3)/10</f>
        <v>2.926996357368318</v>
      </c>
      <c r="L8" s="29">
        <f>(8073/$L$3)/10</f>
        <v>3.29162232578621</v>
      </c>
      <c r="M8" s="29">
        <f>(8268/$M$3)/10</f>
        <v>2.699896157840083</v>
      </c>
      <c r="N8" s="29">
        <f>(17422/$N$3)/10</f>
        <v>4.6568444012017665</v>
      </c>
      <c r="O8" s="29">
        <f>(26587/$O$3)/10</f>
        <v>5.904430265895902</v>
      </c>
      <c r="P8" s="29">
        <f>(18120/$P$3)/10</f>
        <v>5.205355886045222</v>
      </c>
      <c r="Q8" s="29">
        <f>(12416/$Q$3)/10</f>
        <v>4.3465931965454105</v>
      </c>
      <c r="R8" s="29">
        <f>(21030/$R$3)/10</f>
        <v>6.636414127388858</v>
      </c>
      <c r="S8" s="29">
        <f>(27153/$S$3)/10</f>
        <v>5.962267299643841</v>
      </c>
      <c r="T8" s="29">
        <f>(44800/$T$3)/10</f>
        <v>10.236092737172326</v>
      </c>
      <c r="U8" s="29">
        <f>(70190/$U$3)/10</f>
        <v>14.270320822998414</v>
      </c>
    </row>
    <row r="9" spans="1:21" ht="13.5">
      <c r="A9" s="5" t="s">
        <v>4</v>
      </c>
      <c r="B9" s="6">
        <v>4</v>
      </c>
      <c r="C9" s="6">
        <v>3</v>
      </c>
      <c r="D9" s="6">
        <v>2</v>
      </c>
      <c r="E9" s="29">
        <f>(5249/$E$3)/10</f>
        <v>1.336293256416066</v>
      </c>
      <c r="F9" s="29">
        <f>(5726/$F$3)/10</f>
        <v>1.919402524788651</v>
      </c>
      <c r="G9" s="29">
        <f>(5178/$G$3)/10</f>
        <v>1.843872631061669</v>
      </c>
      <c r="H9" s="29">
        <f>(4708/$H$3)/10</f>
        <v>1.70733741672741</v>
      </c>
      <c r="I9" s="29">
        <f>(3987/$I$3)/10</f>
        <v>1.6095499154249542</v>
      </c>
      <c r="J9" s="29">
        <f>(6310/$J$3)/10</f>
        <v>2.664673440258106</v>
      </c>
      <c r="K9" s="29">
        <f>(5873/$K$3)/10</f>
        <v>2.163111816638245</v>
      </c>
      <c r="L9" s="29">
        <f>(6394/$L$3)/10</f>
        <v>2.6070399047537505</v>
      </c>
      <c r="M9" s="29">
        <f>(5962/$M$3)/10</f>
        <v>1.9468772246060204</v>
      </c>
      <c r="N9" s="29">
        <f>(7709/$N$3)/10</f>
        <v>2.06059083278983</v>
      </c>
      <c r="O9" s="29">
        <f>(9664/$O$3)/10</f>
        <v>2.146177232843796</v>
      </c>
      <c r="P9" s="29">
        <f>(5691/$P$3)/10</f>
        <v>1.6348609463291037</v>
      </c>
      <c r="Q9" s="29">
        <f>(3196/$Q$3)/10</f>
        <v>1.1188556585179712</v>
      </c>
      <c r="R9" s="29">
        <f>(3240/$R$3)/10</f>
        <v>1.0224432607104088</v>
      </c>
      <c r="S9" s="29">
        <f>(4678/$S$3)/10</f>
        <v>1.0271972315299924</v>
      </c>
      <c r="T9" s="29">
        <f>(4033/$T$3)/10</f>
        <v>0.9214768305583926</v>
      </c>
      <c r="U9" s="29">
        <f>(5603/$U$3)/10</f>
        <v>1.1391452852437687</v>
      </c>
    </row>
    <row r="10" spans="1:21" ht="14.25" thickBot="1">
      <c r="A10" s="8" t="s">
        <v>3</v>
      </c>
      <c r="B10" s="35">
        <v>1</v>
      </c>
      <c r="C10" s="35">
        <v>1</v>
      </c>
      <c r="D10" s="35">
        <v>1</v>
      </c>
      <c r="E10" s="30">
        <f>(17417/$E$3)/10</f>
        <v>4.434029271670532</v>
      </c>
      <c r="F10" s="30">
        <f>(7573/$F$3)/10</f>
        <v>2.538532190049678</v>
      </c>
      <c r="G10" s="30">
        <f>(8382/$G$3)/10</f>
        <v>2.9848088824949612</v>
      </c>
      <c r="H10" s="30">
        <f>(5542/$H$3)/10</f>
        <v>2.009784189359241</v>
      </c>
      <c r="I10" s="30">
        <f>(5606/$I$3)/10</f>
        <v>2.2631394095491078</v>
      </c>
      <c r="J10" s="30">
        <f>(8536/$J$3)/10</f>
        <v>3.60469928463442</v>
      </c>
      <c r="K10" s="30">
        <f>(6649/$K$3)/10</f>
        <v>2.4489239688111173</v>
      </c>
      <c r="L10" s="30">
        <f>(9594/$L$3)/10</f>
        <v>3.911783053832887</v>
      </c>
      <c r="M10" s="30">
        <f>(19308/$M$3)/10</f>
        <v>6.304982464389977</v>
      </c>
      <c r="N10" s="30">
        <f>(47407/$N$3)/10</f>
        <v>12.671738177463675</v>
      </c>
      <c r="O10" s="30">
        <f>(41508/$O$3)/10</f>
        <v>9.218079944213605</v>
      </c>
      <c r="P10" s="30">
        <f>(33089/$P$3)/10</f>
        <v>9.505519917955317</v>
      </c>
      <c r="Q10" s="30">
        <f>(25584/$Q$3)/10</f>
        <v>8.956446548036226</v>
      </c>
      <c r="R10" s="30">
        <f>(30007/$R$3)/10</f>
        <v>9.469276211153467</v>
      </c>
      <c r="S10" s="30">
        <f>(38211/$S$3)/10</f>
        <v>8.390387647283571</v>
      </c>
      <c r="T10" s="30">
        <f>(22428/$T$3)/10</f>
        <v>5.1244439265468955</v>
      </c>
      <c r="U10" s="30">
        <f>(16336/$U$3)/10</f>
        <v>3.321270280161021</v>
      </c>
    </row>
    <row r="11" spans="1:19" s="39" customFormat="1" ht="13.5" customHeight="1">
      <c r="A11" s="44" t="s">
        <v>27</v>
      </c>
      <c r="B11" s="45"/>
      <c r="C11" s="45"/>
      <c r="D11" s="45"/>
      <c r="E11" s="45"/>
      <c r="F11" s="45"/>
      <c r="G11" s="45"/>
      <c r="H11" s="46"/>
      <c r="I11" s="46"/>
      <c r="J11" s="36"/>
      <c r="K11" s="36"/>
      <c r="L11" s="36"/>
      <c r="M11" s="36"/>
      <c r="N11" s="37"/>
      <c r="O11" s="38"/>
      <c r="P11" s="37"/>
      <c r="Q11" s="37"/>
      <c r="R11" s="37"/>
      <c r="S11" s="37"/>
    </row>
    <row r="12" spans="1:15" ht="9" customHeight="1">
      <c r="A12" s="16"/>
      <c r="B12" s="17"/>
      <c r="C12" s="17"/>
      <c r="D12" s="17"/>
      <c r="E12" s="17"/>
      <c r="F12" s="17"/>
      <c r="G12" s="17"/>
      <c r="H12" s="23"/>
      <c r="I12" s="9"/>
      <c r="J12" s="9"/>
      <c r="K12" s="9"/>
      <c r="L12" s="9"/>
      <c r="M12" s="9"/>
      <c r="N12" s="10"/>
      <c r="O12" s="3"/>
    </row>
    <row r="13" spans="1:15" ht="12" customHeight="1">
      <c r="A13" s="21" t="s">
        <v>5</v>
      </c>
      <c r="B13" s="9"/>
      <c r="C13" s="9"/>
      <c r="D13" s="9"/>
      <c r="E13" s="11"/>
      <c r="F13" s="9"/>
      <c r="G13" s="9"/>
      <c r="H13" s="11"/>
      <c r="I13" s="9"/>
      <c r="J13" s="9"/>
      <c r="K13" s="9"/>
      <c r="L13" s="9"/>
      <c r="M13" s="9"/>
      <c r="N13" s="10"/>
      <c r="O13" s="3"/>
    </row>
    <row r="14" spans="1:14" ht="12" customHeight="1">
      <c r="A14" s="42" t="s">
        <v>30</v>
      </c>
      <c r="B14" s="43"/>
      <c r="C14" s="43"/>
      <c r="D14" s="43"/>
      <c r="E14" s="43"/>
      <c r="F14" s="43"/>
      <c r="G14" s="19"/>
      <c r="H14" s="13"/>
      <c r="I14" s="13"/>
      <c r="J14" s="13"/>
      <c r="K14" s="13"/>
      <c r="L14" s="13"/>
      <c r="M14" s="12"/>
      <c r="N14" s="12"/>
    </row>
    <row r="15" spans="1:14" ht="9" customHeight="1">
      <c r="A15" s="20"/>
      <c r="B15" s="18"/>
      <c r="C15" s="18"/>
      <c r="D15" s="19"/>
      <c r="E15" s="19"/>
      <c r="F15" s="19"/>
      <c r="G15" s="19"/>
      <c r="H15" s="13"/>
      <c r="I15" s="13"/>
      <c r="J15" s="13"/>
      <c r="K15" s="13"/>
      <c r="L15" s="13"/>
      <c r="M15" s="12"/>
      <c r="N15" s="12"/>
    </row>
    <row r="16" spans="1:14" ht="12.75">
      <c r="A16" s="22" t="s">
        <v>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2"/>
      <c r="N16" s="12"/>
    </row>
    <row r="17" spans="1:14" s="4" customFormat="1" ht="24.75" customHeight="1">
      <c r="A17" s="47" t="s">
        <v>10</v>
      </c>
      <c r="B17" s="48"/>
      <c r="C17" s="48"/>
      <c r="D17" s="48"/>
      <c r="E17" s="48"/>
      <c r="F17" s="48"/>
      <c r="G17" s="48"/>
      <c r="H17" s="49"/>
      <c r="I17" s="15"/>
      <c r="J17" s="15"/>
      <c r="K17" s="15"/>
      <c r="L17" s="15"/>
      <c r="M17" s="15"/>
      <c r="N17" s="14"/>
    </row>
    <row r="18" spans="1:14" ht="24.75" customHeight="1">
      <c r="A18" s="42" t="s">
        <v>29</v>
      </c>
      <c r="B18" s="42"/>
      <c r="C18" s="42"/>
      <c r="D18" s="42"/>
      <c r="E18" s="42"/>
      <c r="F18" s="42"/>
      <c r="G18" s="42"/>
      <c r="H18" s="42"/>
      <c r="I18" s="12"/>
      <c r="J18" s="12"/>
      <c r="K18" s="12"/>
      <c r="L18" s="12"/>
      <c r="M18" s="12"/>
      <c r="N18" s="12"/>
    </row>
    <row r="19" spans="1:8" ht="24.75" customHeight="1">
      <c r="A19" s="42" t="s">
        <v>34</v>
      </c>
      <c r="B19" s="42"/>
      <c r="C19" s="42"/>
      <c r="D19" s="42"/>
      <c r="E19" s="42"/>
      <c r="F19" s="42"/>
      <c r="G19" s="42"/>
      <c r="H19" s="42"/>
    </row>
  </sheetData>
  <mergeCells count="6">
    <mergeCell ref="A19:H19"/>
    <mergeCell ref="A14:F14"/>
    <mergeCell ref="A11:I11"/>
    <mergeCell ref="A18:H18"/>
    <mergeCell ref="A17:H17"/>
    <mergeCell ref="A1:U1"/>
  </mergeCells>
  <printOptions/>
  <pageMargins left="0.5" right="0.5" top="0.5" bottom="0.5" header="0.25" footer="0.25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1980-01-01T04:00:00Z</cp:lastPrinted>
  <dcterms:created xsi:type="dcterms:W3CDTF">1980-01-01T04:00:00Z</dcterms:created>
  <dcterms:modified xsi:type="dcterms:W3CDTF">2007-06-08T13:01:28Z</dcterms:modified>
  <cp:category/>
  <cp:version/>
  <cp:contentType/>
  <cp:contentStatus/>
</cp:coreProperties>
</file>