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<sst xmlns="http://schemas.openxmlformats.org/spreadsheetml/2006/main" count="1277" uniqueCount="23">
  <si>
    <t xml:space="preserve">BUREAU </t>
  </si>
  <si>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</si>
  <si>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</si>
  <si>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</si>
  <si>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</si>
  <si>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</si>
  <si>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</si>
  <si>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</si>
  <si>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</si>
  <si>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</si>
  <si>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</si>
  <si>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 xml:space="preserve"> </t>
  </si>
  <si>
    <t>05405</t>
  </si>
  <si>
    <t>01376</t>
  </si>
  <si>
    <t>02543</t>
  </si>
  <si>
    <t>00965</t>
  </si>
  <si>
    <t>06108</t>
  </si>
  <si>
    <t>04330</t>
  </si>
  <si>
    <t>01532</t>
  </si>
  <si>
    <t>03275</t>
  </si>
  <si>
    <t>08628</t>
  </si>
  <si>
    <t>06269</t>
  </si>
  <si>
    <t>U.S. GEOLOGICAL 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</si>
</sst>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workbookViewId="0" topLeftCell="A304">
      <selection activeCell="B327" sqref="B327"/>
    </sheetView>
  </sheetViews>
  <sheetFormatPr defaultColWidth="9.140625" defaultRowHeight="12.75"/>
  <cols>
    <col min="1" max="1" width="29.00390625" style="0" customWidth="1"/>
    <col min="2" max="2" width="39.28125" style="0" customWidth="1"/>
    <col min="3" max="3" width="45.57421875" style="0" customWidth="1"/>
    <col min="4" max="4" width="48.57421875" style="0" customWidth="1"/>
    <col min="5" max="5" width="25.140625" style="0" customWidth="1"/>
    <col min="6" max="6" width="20.57421875" style="0" customWidth="1"/>
    <col min="7" max="7" width="21.00390625" style="0" customWidth="1"/>
    <col min="9" max="9" width="12.57421875" style="0" customWidth="1"/>
    <col min="10" max="10" width="17.140625" style="0" customWidth="1"/>
    <col min="11" max="11" width="15.00390625" style="0" customWidth="1"/>
  </cols>
  <sheetData>
    <row r="1" spans="1:11" s="4" customFormat="1" ht="12.7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3" t="s">
        <v>9</v>
      </c>
      <c r="K1" s="3" t="s">
        <v>10</v>
      </c>
    </row>
    <row r="2" spans="1:11" ht="12.75">
      <c r="A2" s="1" t="s">
        <v>22</v>
      </c>
      <c r="B2" t="str">
        <f>T("GEOLOGICAL SURVEY")</f>
        <v>GEOLOGICAL SURVEY</v>
      </c>
      <c r="C2" t="str">
        <f>T("U S Geological Survey National Center")</f>
        <v>U S Geological Survey National Center</v>
      </c>
      <c r="D2" t="str">
        <f>T("12201 Sunrise Valley Drive MS 205P")</f>
        <v>12201 Sunrise Valley Drive MS 205P</v>
      </c>
      <c r="E2" t="s">
        <v>11</v>
      </c>
      <c r="F2" t="str">
        <f>T("Attn: Lisa Zukowski")</f>
        <v>Attn: Lisa Zukowski</v>
      </c>
      <c r="G2" t="str">
        <f>T("Reston")</f>
        <v>Reston</v>
      </c>
      <c r="H2" t="str">
        <f>T("VA ")</f>
        <v>VA </v>
      </c>
      <c r="I2" s="1">
        <f>N(20192)</f>
        <v>20192</v>
      </c>
      <c r="J2" s="1">
        <f>N(7036487347)</f>
        <v>7036487347</v>
      </c>
      <c r="K2" s="1">
        <f>N(7036487901)</f>
        <v>7036487901</v>
      </c>
    </row>
    <row r="3" spans="1:11" ht="12.75">
      <c r="A3" s="1" t="s">
        <v>22</v>
      </c>
      <c r="B3" t="str">
        <f>T("WR-REGIONAL DIRECTOR")</f>
        <v>WR-REGIONAL DIRECTOR</v>
      </c>
      <c r="C3" t="str">
        <f>T("345 MIDDLEFIELD RD MS 150")</f>
        <v>345 MIDDLEFIELD RD MS 150</v>
      </c>
      <c r="D3" t="s">
        <v>11</v>
      </c>
      <c r="E3" t="s">
        <v>11</v>
      </c>
      <c r="F3" t="s">
        <v>11</v>
      </c>
      <c r="G3" t="str">
        <f>T("MENLO PARK")</f>
        <v>MENLO PARK</v>
      </c>
      <c r="H3" t="str">
        <f>T("CA ")</f>
        <v>CA </v>
      </c>
      <c r="I3" s="1">
        <f>N(94025)</f>
        <v>94025</v>
      </c>
      <c r="J3" s="1">
        <f>N(6503294001)</f>
        <v>6503294001</v>
      </c>
      <c r="K3" s="1">
        <f>N(6503294004)</f>
        <v>6503294004</v>
      </c>
    </row>
    <row r="4" spans="1:11" ht="12.75">
      <c r="A4" s="1" t="s">
        <v>22</v>
      </c>
      <c r="B4" t="str">
        <f>T("WR-REX BIOLOGY")</f>
        <v>WR-REX BIOLOGY</v>
      </c>
      <c r="C4" t="str">
        <f>T("909 1ST AVENUE 8TH FLOOR")</f>
        <v>909 1ST AVENUE 8TH FLOOR</v>
      </c>
      <c r="D4" t="s">
        <v>11</v>
      </c>
      <c r="E4" t="s">
        <v>11</v>
      </c>
      <c r="F4" t="s">
        <v>11</v>
      </c>
      <c r="G4" t="str">
        <f>T("SEATTLE")</f>
        <v>SEATTLE</v>
      </c>
      <c r="H4" t="str">
        <f>T("WA ")</f>
        <v>WA </v>
      </c>
      <c r="I4" s="1">
        <f>N(98104)</f>
        <v>98104</v>
      </c>
      <c r="J4" s="1">
        <f>N(2062203943)</f>
        <v>2062203943</v>
      </c>
      <c r="K4" s="1" t="s">
        <v>11</v>
      </c>
    </row>
    <row r="5" spans="1:11" ht="12.75">
      <c r="A5" s="1" t="s">
        <v>22</v>
      </c>
      <c r="B5" t="str">
        <f>T("WESTERN FISHERIES RESEARCH CE")</f>
        <v>WESTERN FISHERIES RESEARCH CE</v>
      </c>
      <c r="C5" t="str">
        <f>T("6505 NE 65TH STREET")</f>
        <v>6505 NE 65TH STREET</v>
      </c>
      <c r="D5" t="s">
        <v>11</v>
      </c>
      <c r="E5" t="s">
        <v>11</v>
      </c>
      <c r="F5" t="s">
        <v>11</v>
      </c>
      <c r="G5" t="str">
        <f>T("SEATTLE")</f>
        <v>SEATTLE</v>
      </c>
      <c r="H5" t="str">
        <f>T("WA ")</f>
        <v>WA </v>
      </c>
      <c r="I5" s="1">
        <f>N(98115)</f>
        <v>98115</v>
      </c>
      <c r="J5" s="1">
        <f>N(2065266282)</f>
        <v>2065266282</v>
      </c>
      <c r="K5" s="1" t="s">
        <v>11</v>
      </c>
    </row>
    <row r="6" spans="1:11" ht="12.75">
      <c r="A6" s="1" t="s">
        <v>22</v>
      </c>
      <c r="B6" t="str">
        <f>T("COLUMBIA RIVER RESEARCH LAB")</f>
        <v>COLUMBIA RIVER RESEARCH LAB</v>
      </c>
      <c r="C6" t="str">
        <f>T("5501A COOK UNDERWOOD RD")</f>
        <v>5501A COOK UNDERWOOD RD</v>
      </c>
      <c r="D6" t="s">
        <v>11</v>
      </c>
      <c r="E6" t="s">
        <v>11</v>
      </c>
      <c r="F6" t="s">
        <v>11</v>
      </c>
      <c r="G6" t="str">
        <f>T("COOK")</f>
        <v>COOK</v>
      </c>
      <c r="H6" t="str">
        <f>T("WA ")</f>
        <v>WA </v>
      </c>
      <c r="I6" s="1">
        <f>N(98605)</f>
        <v>98605</v>
      </c>
      <c r="J6" s="1">
        <f>N(5095382299)</f>
        <v>5095382299</v>
      </c>
      <c r="K6" s="1" t="s">
        <v>11</v>
      </c>
    </row>
    <row r="7" spans="1:11" ht="12.75">
      <c r="A7" s="1" t="s">
        <v>22</v>
      </c>
      <c r="B7" t="str">
        <f>T("RENO FIELD STATION")</f>
        <v>RENO FIELD STATION</v>
      </c>
      <c r="C7" t="str">
        <f>T("1340 FINANCIAL BLVD SUITE 161")</f>
        <v>1340 FINANCIAL BLVD SUITE 161</v>
      </c>
      <c r="D7" t="s">
        <v>11</v>
      </c>
      <c r="E7" t="s">
        <v>11</v>
      </c>
      <c r="F7" t="s">
        <v>11</v>
      </c>
      <c r="G7" t="str">
        <f>T("RENO")</f>
        <v>RENO</v>
      </c>
      <c r="H7" t="str">
        <f>T("NV ")</f>
        <v>NV </v>
      </c>
      <c r="I7" s="1">
        <f>N(89502)</f>
        <v>89502</v>
      </c>
      <c r="J7" s="1">
        <f>N(7027845451)</f>
        <v>7027845451</v>
      </c>
      <c r="K7" s="1" t="s">
        <v>11</v>
      </c>
    </row>
    <row r="8" spans="1:11" ht="12.75">
      <c r="A8" s="1" t="s">
        <v>22</v>
      </c>
      <c r="B8" t="str">
        <f>T("PACIFIC ISLANDS ECOSYSTEMS RSC")</f>
        <v>PACIFIC ISLANDS ECOSYSTEMS RSC</v>
      </c>
      <c r="C8" t="str">
        <f>T("3190 MAILE WAY ST JOHN ROOM 408")</f>
        <v>3190 MAILE WAY ST JOHN ROOM 408</v>
      </c>
      <c r="D8" t="s">
        <v>11</v>
      </c>
      <c r="E8" t="s">
        <v>11</v>
      </c>
      <c r="F8" t="s">
        <v>11</v>
      </c>
      <c r="G8" t="str">
        <f>T("HONOLULU")</f>
        <v>HONOLULU</v>
      </c>
      <c r="H8" t="str">
        <f>T("HI ")</f>
        <v>HI </v>
      </c>
      <c r="I8" s="1">
        <f>N(96822)</f>
        <v>96822</v>
      </c>
      <c r="J8" s="1">
        <f>N(8089565669)</f>
        <v>8089565669</v>
      </c>
      <c r="K8" s="1">
        <f>N(8089565687)</f>
        <v>8089565687</v>
      </c>
    </row>
    <row r="9" spans="1:11" ht="12.75">
      <c r="A9" s="1" t="s">
        <v>22</v>
      </c>
      <c r="B9" t="str">
        <f>T("HAWAII FIELD STATION")</f>
        <v>HAWAII FIELD STATION</v>
      </c>
      <c r="C9" t="str">
        <f>T("PO BOX 44")</f>
        <v>PO BOX 44</v>
      </c>
      <c r="D9" t="s">
        <v>11</v>
      </c>
      <c r="E9" t="s">
        <v>11</v>
      </c>
      <c r="F9" t="s">
        <v>11</v>
      </c>
      <c r="G9" t="str">
        <f>T("HAWAII NATL PARK")</f>
        <v>HAWAII NATL PARK</v>
      </c>
      <c r="H9" t="str">
        <f>T("HI ")</f>
        <v>HI </v>
      </c>
      <c r="I9" s="1">
        <f>N(96718)</f>
        <v>96718</v>
      </c>
      <c r="J9" s="1">
        <f>N(8089856072)</f>
        <v>8089856072</v>
      </c>
      <c r="K9" s="1">
        <f>N(8089677153)</f>
        <v>8089677153</v>
      </c>
    </row>
    <row r="10" spans="1:11" ht="12.75">
      <c r="A10" s="1" t="s">
        <v>22</v>
      </c>
      <c r="B10" t="str">
        <f>T("HALEAKALA NATL PARK FIELD STA")</f>
        <v>HALEAKALA NATL PARK FIELD STA</v>
      </c>
      <c r="C10" t="str">
        <f>T("PO BOX 369")</f>
        <v>PO BOX 369</v>
      </c>
      <c r="D10" t="s">
        <v>11</v>
      </c>
      <c r="E10" t="s">
        <v>11</v>
      </c>
      <c r="F10" t="s">
        <v>11</v>
      </c>
      <c r="G10" t="str">
        <f>T("MAKAWAO")</f>
        <v>MAKAWAO</v>
      </c>
      <c r="H10" t="str">
        <f>T("HI ")</f>
        <v>HI </v>
      </c>
      <c r="I10" s="1">
        <f>N(96768)</f>
        <v>96768</v>
      </c>
      <c r="J10" s="1">
        <f>N(8085724470)</f>
        <v>8085724470</v>
      </c>
      <c r="K10" s="1">
        <f>N(8085721304)</f>
        <v>8085721304</v>
      </c>
    </row>
    <row r="11" spans="1:11" ht="12.75">
      <c r="A11" s="1" t="s">
        <v>22</v>
      </c>
      <c r="B11" t="str">
        <f>T("UNIVERSITY OF HAWAII FIELD STA")</f>
        <v>UNIVERSITY OF HAWAII FIELD STA</v>
      </c>
      <c r="C11" t="str">
        <f>T("3190 MAILE WAY RM 408")</f>
        <v>3190 MAILE WAY RM 408</v>
      </c>
      <c r="D11" t="s">
        <v>11</v>
      </c>
      <c r="E11" t="s">
        <v>11</v>
      </c>
      <c r="F11" t="s">
        <v>11</v>
      </c>
      <c r="G11" t="str">
        <f>T("HONOLULU")</f>
        <v>HONOLULU</v>
      </c>
      <c r="H11" t="str">
        <f>T("HI ")</f>
        <v>HI </v>
      </c>
      <c r="I11" s="1">
        <f>N(96822)</f>
        <v>96822</v>
      </c>
      <c r="J11" s="1">
        <f>N(8089569428)</f>
        <v>8089569428</v>
      </c>
      <c r="K11" s="1">
        <f>N(8089565687)</f>
        <v>8089565687</v>
      </c>
    </row>
    <row r="12" spans="1:11" ht="12.75">
      <c r="A12" s="1" t="s">
        <v>22</v>
      </c>
      <c r="B12" t="str">
        <f>T("WESTERN ECOLOGICAL RESEARCH")</f>
        <v>WESTERN ECOLOGICAL RESEARCH</v>
      </c>
      <c r="C12" t="str">
        <f>T("6924 TREMONT")</f>
        <v>6924 TREMONT</v>
      </c>
      <c r="D12" t="s">
        <v>11</v>
      </c>
      <c r="E12" t="s">
        <v>11</v>
      </c>
      <c r="F12" t="s">
        <v>11</v>
      </c>
      <c r="G12" t="str">
        <f>T("DIXON")</f>
        <v>DIXON</v>
      </c>
      <c r="H12" t="str">
        <f>T("CA ")</f>
        <v>CA </v>
      </c>
      <c r="I12" s="1">
        <f>N(95620)</f>
        <v>95620</v>
      </c>
      <c r="J12" s="1">
        <f>N(7076780682)</f>
        <v>7076780682</v>
      </c>
      <c r="K12" s="1">
        <f>N(7076785039)</f>
        <v>7076785039</v>
      </c>
    </row>
    <row r="13" spans="1:11" ht="12.75">
      <c r="A13" s="1" t="s">
        <v>22</v>
      </c>
      <c r="B13" t="str">
        <f>T("FOREST &amp; RANGELAND ECOSYSTEM")</f>
        <v>FOREST &amp; RANGELAND ECOSYSTEM</v>
      </c>
      <c r="C13" t="str">
        <f>T("970 LUSK STREET")</f>
        <v>970 LUSK STREET</v>
      </c>
      <c r="D13" t="s">
        <v>11</v>
      </c>
      <c r="E13" t="s">
        <v>11</v>
      </c>
      <c r="F13" t="s">
        <v>11</v>
      </c>
      <c r="G13" t="str">
        <f>T("BOISE")</f>
        <v>BOISE</v>
      </c>
      <c r="H13" t="str">
        <f>T("ID ")</f>
        <v>ID </v>
      </c>
      <c r="I13" s="1">
        <f>N(83706)</f>
        <v>83706</v>
      </c>
      <c r="J13" s="1">
        <f>N(2084265207)</f>
        <v>2084265207</v>
      </c>
      <c r="K13" s="1">
        <f>N(2084265210)</f>
        <v>2084265210</v>
      </c>
    </row>
    <row r="14" spans="1:11" ht="12.75">
      <c r="A14" s="1" t="s">
        <v>22</v>
      </c>
      <c r="B14" t="str">
        <f>T("OLYMPIC FIELD STATION")</f>
        <v>OLYMPIC FIELD STATION</v>
      </c>
      <c r="C14" t="str">
        <f>T("970 LUSK STREET")</f>
        <v>970 LUSK STREET</v>
      </c>
      <c r="D14" t="s">
        <v>11</v>
      </c>
      <c r="E14" t="s">
        <v>11</v>
      </c>
      <c r="F14" t="s">
        <v>11</v>
      </c>
      <c r="G14" t="str">
        <f>T("BOISE")</f>
        <v>BOISE</v>
      </c>
      <c r="H14" t="str">
        <f>T("ID ")</f>
        <v>ID </v>
      </c>
      <c r="I14" s="1">
        <f>N(83706)</f>
        <v>83706</v>
      </c>
      <c r="J14" s="1" t="s">
        <v>11</v>
      </c>
      <c r="K14" s="1">
        <f>N(2084265210)</f>
        <v>2084265210</v>
      </c>
    </row>
    <row r="15" spans="1:11" ht="12.75">
      <c r="A15" s="1" t="s">
        <v>22</v>
      </c>
      <c r="B15" t="str">
        <f>T("CORVALLIS RESEARCH GROUP")</f>
        <v>CORVALLIS RESEARCH GROUP</v>
      </c>
      <c r="C15" t="str">
        <f>T("970 LUSK STREET")</f>
        <v>970 LUSK STREET</v>
      </c>
      <c r="D15" t="s">
        <v>11</v>
      </c>
      <c r="E15" t="s">
        <v>11</v>
      </c>
      <c r="F15" t="s">
        <v>11</v>
      </c>
      <c r="G15" t="str">
        <f>T("BOISE")</f>
        <v>BOISE</v>
      </c>
      <c r="H15" t="str">
        <f>T("ID ")</f>
        <v>ID </v>
      </c>
      <c r="I15" s="1">
        <f>N(83706)</f>
        <v>83706</v>
      </c>
      <c r="J15" s="1" t="s">
        <v>11</v>
      </c>
      <c r="K15" s="1">
        <f>N(2084265210)</f>
        <v>2084265210</v>
      </c>
    </row>
    <row r="16" spans="1:11" ht="12.75">
      <c r="A16" s="1" t="s">
        <v>22</v>
      </c>
      <c r="B16" t="str">
        <f>T("SNAKE RIVER FIELD STATION")</f>
        <v>SNAKE RIVER FIELD STATION</v>
      </c>
      <c r="C16" t="str">
        <f>T("970 LUSK STREET")</f>
        <v>970 LUSK STREET</v>
      </c>
      <c r="D16" t="s">
        <v>11</v>
      </c>
      <c r="E16" t="s">
        <v>11</v>
      </c>
      <c r="F16" t="s">
        <v>11</v>
      </c>
      <c r="G16" t="str">
        <f>T("BOISE")</f>
        <v>BOISE</v>
      </c>
      <c r="H16" t="str">
        <f>T("ID ")</f>
        <v>ID </v>
      </c>
      <c r="I16" s="1">
        <f>N(83706)</f>
        <v>83706</v>
      </c>
      <c r="J16" s="1">
        <f>N(2083843484)</f>
        <v>2083843484</v>
      </c>
      <c r="K16" s="1">
        <f>N(2084265210)</f>
        <v>2084265210</v>
      </c>
    </row>
    <row r="17" spans="1:11" ht="12.75">
      <c r="A17" s="1" t="s">
        <v>22</v>
      </c>
      <c r="B17" t="str">
        <f>T("CASCADIA FIELD STATION")</f>
        <v>CASCADIA FIELD STATION</v>
      </c>
      <c r="C17" t="str">
        <f>T("970 LUSK STREET")</f>
        <v>970 LUSK STREET</v>
      </c>
      <c r="D17" t="s">
        <v>11</v>
      </c>
      <c r="E17" t="s">
        <v>11</v>
      </c>
      <c r="F17" t="s">
        <v>11</v>
      </c>
      <c r="G17" t="str">
        <f>T("BOISE")</f>
        <v>BOISE</v>
      </c>
      <c r="H17" t="str">
        <f>T("ID ")</f>
        <v>ID </v>
      </c>
      <c r="I17" s="1">
        <f>N(83706)</f>
        <v>83706</v>
      </c>
      <c r="J17" s="1" t="s">
        <v>11</v>
      </c>
      <c r="K17" s="1">
        <f>N(2084265210)</f>
        <v>2084265210</v>
      </c>
    </row>
    <row r="18" spans="1:11" ht="12.75">
      <c r="A18" s="1" t="s">
        <v>22</v>
      </c>
      <c r="B18" t="str">
        <f>T("WR-REX HYDROLOGIST")</f>
        <v>WR-REX HYDROLOGIST</v>
      </c>
      <c r="C18" t="str">
        <f>T("6770 S PARADISE RD")</f>
        <v>6770 S PARADISE RD</v>
      </c>
      <c r="D18" t="s">
        <v>11</v>
      </c>
      <c r="E18" t="s">
        <v>11</v>
      </c>
      <c r="F18" t="s">
        <v>11</v>
      </c>
      <c r="G18" t="str">
        <f>T("LAS VEGAS")</f>
        <v>LAS VEGAS</v>
      </c>
      <c r="H18" t="str">
        <f>T("NV ")</f>
        <v>NV </v>
      </c>
      <c r="I18" s="1">
        <f>N(89119)</f>
        <v>89119</v>
      </c>
      <c r="J18" s="1">
        <f>N(7028974004)</f>
        <v>7028974004</v>
      </c>
      <c r="K18" s="1">
        <f>N(7028974055)</f>
        <v>7028974055</v>
      </c>
    </row>
    <row r="19" spans="1:11" ht="12.75">
      <c r="A19" s="1" t="s">
        <v>22</v>
      </c>
      <c r="B19" t="str">
        <f>T("ARIZONA DISTRICT")</f>
        <v>ARIZONA DISTRICT</v>
      </c>
      <c r="C19" t="str">
        <f>T("520 N. PARK AVE")</f>
        <v>520 N. PARK AVE</v>
      </c>
      <c r="D19" t="str">
        <f>T("SUITE 221")</f>
        <v>SUITE 221</v>
      </c>
      <c r="E19" t="s">
        <v>11</v>
      </c>
      <c r="F19" t="s">
        <v>11</v>
      </c>
      <c r="G19" t="str">
        <f>T("TUCSON")</f>
        <v>TUCSON</v>
      </c>
      <c r="H19" t="str">
        <f>T("AZ ")</f>
        <v>AZ </v>
      </c>
      <c r="I19" s="1">
        <f>N(85719)</f>
        <v>85719</v>
      </c>
      <c r="J19" s="1">
        <f>N(5206706671)</f>
        <v>5206706671</v>
      </c>
      <c r="K19" s="1">
        <f>N(5206705592)</f>
        <v>5206705592</v>
      </c>
    </row>
    <row r="20" spans="1:11" ht="12.75">
      <c r="A20" s="1" t="s">
        <v>22</v>
      </c>
      <c r="B20" t="str">
        <f>T("FIELD OFFICE-FLAGSTAFF")</f>
        <v>FIELD OFFICE-FLAGSTAFF</v>
      </c>
      <c r="C20" t="str">
        <f>T("2255 N. GEMINI DR")</f>
        <v>2255 N. GEMINI DR</v>
      </c>
      <c r="D20" t="s">
        <v>11</v>
      </c>
      <c r="E20" t="s">
        <v>11</v>
      </c>
      <c r="F20" t="s">
        <v>11</v>
      </c>
      <c r="G20" t="str">
        <f>T("FLAGSTAFF")</f>
        <v>FLAGSTAFF</v>
      </c>
      <c r="H20" t="str">
        <f>T("AZ ")</f>
        <v>AZ </v>
      </c>
      <c r="I20" s="1">
        <f>N(86001)</f>
        <v>86001</v>
      </c>
      <c r="J20" s="1">
        <f>N(5205567136)</f>
        <v>5205567136</v>
      </c>
      <c r="K20" s="1">
        <f>N(5205567169)</f>
        <v>5205567169</v>
      </c>
    </row>
    <row r="21" spans="1:11" ht="12.75">
      <c r="A21" s="1" t="s">
        <v>22</v>
      </c>
      <c r="B21" t="str">
        <f>T("FIELD OFFICE-TEMPEE")</f>
        <v>FIELD OFFICE-TEMPEE</v>
      </c>
      <c r="C21" t="str">
        <f>T("1545 WEST UNIVERSITY DR")</f>
        <v>1545 WEST UNIVERSITY DR</v>
      </c>
      <c r="D21" t="s">
        <v>11</v>
      </c>
      <c r="E21" t="s">
        <v>11</v>
      </c>
      <c r="F21" t="s">
        <v>11</v>
      </c>
      <c r="G21" t="str">
        <f>T("TEMPE")</f>
        <v>TEMPE</v>
      </c>
      <c r="H21" t="str">
        <f>T("AZ ")</f>
        <v>AZ </v>
      </c>
      <c r="I21" s="1">
        <f>N(85281)</f>
        <v>85281</v>
      </c>
      <c r="J21" s="1">
        <f>N(6023793086)</f>
        <v>6023793086</v>
      </c>
      <c r="K21" s="1">
        <f>N(6023793138)</f>
        <v>6023793138</v>
      </c>
    </row>
    <row r="22" spans="1:11" ht="12.75">
      <c r="A22" s="1" t="s">
        <v>22</v>
      </c>
      <c r="B22" t="str">
        <f>T("FIELD OFFICE-TUCSON")</f>
        <v>FIELD OFFICE-TUCSON</v>
      </c>
      <c r="C22" t="str">
        <f>T("520 NORTH PARK AVENUE SUITE 221")</f>
        <v>520 NORTH PARK AVENUE SUITE 221</v>
      </c>
      <c r="D22" t="s">
        <v>11</v>
      </c>
      <c r="E22" t="s">
        <v>11</v>
      </c>
      <c r="F22" t="s">
        <v>11</v>
      </c>
      <c r="G22" t="str">
        <f>T("TUCSON")</f>
        <v>TUCSON</v>
      </c>
      <c r="H22" t="str">
        <f>T("AZ ")</f>
        <v>AZ </v>
      </c>
      <c r="I22" s="1">
        <f>N(85719)</f>
        <v>85719</v>
      </c>
      <c r="J22" s="1">
        <f>N(5206706671)</f>
        <v>5206706671</v>
      </c>
      <c r="K22" s="1">
        <f>N(5206705592)</f>
        <v>5206705592</v>
      </c>
    </row>
    <row r="23" spans="1:11" ht="12.75">
      <c r="A23" s="1" t="s">
        <v>22</v>
      </c>
      <c r="B23" t="str">
        <f>T("FIELD OFFICE-YUMA")</f>
        <v>FIELD OFFICE-YUMA</v>
      </c>
      <c r="C23" t="str">
        <f>T("1940 SOUTH 3RD AVE")</f>
        <v>1940 SOUTH 3RD AVE</v>
      </c>
      <c r="D23" t="s">
        <v>11</v>
      </c>
      <c r="E23" t="s">
        <v>11</v>
      </c>
      <c r="F23" t="s">
        <v>11</v>
      </c>
      <c r="G23" t="str">
        <f>T("YUMA")</f>
        <v>YUMA</v>
      </c>
      <c r="H23" t="str">
        <f>T("AZ ")</f>
        <v>AZ </v>
      </c>
      <c r="I23" s="1">
        <f>N(85364)</f>
        <v>85364</v>
      </c>
      <c r="J23" s="1">
        <f>N(5207826024)</f>
        <v>5207826024</v>
      </c>
      <c r="K23" s="1">
        <f>N(5207820268)</f>
        <v>5207820268</v>
      </c>
    </row>
    <row r="24" spans="1:11" ht="12.75">
      <c r="A24" s="1" t="s">
        <v>22</v>
      </c>
      <c r="B24" t="str">
        <f>T("CALIFORNIA DISTRICT")</f>
        <v>CALIFORNIA DISTRICT</v>
      </c>
      <c r="C24" t="str">
        <f>T("PLACER HALL 6000 J ST")</f>
        <v>PLACER HALL 6000 J ST</v>
      </c>
      <c r="D24" t="s">
        <v>11</v>
      </c>
      <c r="E24" t="s">
        <v>11</v>
      </c>
      <c r="F24" t="s">
        <v>11</v>
      </c>
      <c r="G24" t="str">
        <f>T("SACRAMENTO")</f>
        <v>SACRAMENTO</v>
      </c>
      <c r="H24" t="str">
        <f>T("CA ")</f>
        <v>CA </v>
      </c>
      <c r="I24" s="1">
        <f>N(95819)</f>
        <v>95819</v>
      </c>
      <c r="J24" s="1">
        <f>N(9162783000)</f>
        <v>9162783000</v>
      </c>
      <c r="K24" s="1">
        <f>N(9162783070)</f>
        <v>9162783070</v>
      </c>
    </row>
    <row r="25" spans="1:11" ht="13.5" customHeight="1">
      <c r="A25" s="1" t="s">
        <v>22</v>
      </c>
      <c r="B25" t="str">
        <f>T("HAWAII DISTRICT")</f>
        <v>HAWAII DISTRICT</v>
      </c>
      <c r="C25" t="str">
        <f>T("677 ALA MOANA BLVD")</f>
        <v>677 ALA MOANA BLVD</v>
      </c>
      <c r="D25" t="str">
        <f>T("SUITE 415")</f>
        <v>SUITE 415</v>
      </c>
      <c r="E25" t="s">
        <v>11</v>
      </c>
      <c r="F25" t="s">
        <v>11</v>
      </c>
      <c r="G25" t="str">
        <f>T("HONOLULU")</f>
        <v>HONOLULU</v>
      </c>
      <c r="H25" t="str">
        <f>T("HI ")</f>
        <v>HI </v>
      </c>
      <c r="I25" s="1">
        <f>N(96813)</f>
        <v>96813</v>
      </c>
      <c r="J25" s="1">
        <f>N(8085872401)</f>
        <v>8085872401</v>
      </c>
      <c r="K25" s="1">
        <f>N(8085872401)</f>
        <v>8085872401</v>
      </c>
    </row>
    <row r="26" spans="1:11" ht="12.75">
      <c r="A26" s="1" t="s">
        <v>22</v>
      </c>
      <c r="B26" t="str">
        <f>T("IDAHO DISTRICT")</f>
        <v>IDAHO DISTRICT</v>
      </c>
      <c r="C26" t="str">
        <f>T("230 COLLINS RD")</f>
        <v>230 COLLINS RD</v>
      </c>
      <c r="D26" t="s">
        <v>11</v>
      </c>
      <c r="E26" t="s">
        <v>11</v>
      </c>
      <c r="F26" t="s">
        <v>11</v>
      </c>
      <c r="G26" t="str">
        <f>T("BOISE")</f>
        <v>BOISE</v>
      </c>
      <c r="H26" t="str">
        <f>T("ID ")</f>
        <v>ID </v>
      </c>
      <c r="I26" s="1">
        <f>N(83702)</f>
        <v>83702</v>
      </c>
      <c r="J26" s="1">
        <f>N(2083871300)</f>
        <v>2083871300</v>
      </c>
      <c r="K26" s="1">
        <f>N(2083871372)</f>
        <v>2083871372</v>
      </c>
    </row>
    <row r="27" spans="1:11" ht="12.75">
      <c r="A27" s="1" t="s">
        <v>22</v>
      </c>
      <c r="B27" t="str">
        <f>T("NEVADA DISTRICT")</f>
        <v>NEVADA DISTRICT</v>
      </c>
      <c r="C27" t="str">
        <f>T("333 WEST NYE LANE ROOM 203")</f>
        <v>333 WEST NYE LANE ROOM 203</v>
      </c>
      <c r="D27" t="s">
        <v>11</v>
      </c>
      <c r="E27" t="s">
        <v>11</v>
      </c>
      <c r="F27" t="s">
        <v>11</v>
      </c>
      <c r="G27" t="str">
        <f>T("CARSON CITY")</f>
        <v>CARSON CITY</v>
      </c>
      <c r="H27" t="str">
        <f>T("NV ")</f>
        <v>NV </v>
      </c>
      <c r="I27" s="1">
        <f>N(89706)</f>
        <v>89706</v>
      </c>
      <c r="J27" s="1">
        <f>N(7758877600)</f>
        <v>7758877600</v>
      </c>
      <c r="K27" s="1">
        <f>N(7758877629)</f>
        <v>7758877629</v>
      </c>
    </row>
    <row r="28" spans="1:11" ht="12.75">
      <c r="A28" s="1" t="s">
        <v>22</v>
      </c>
      <c r="B28" t="str">
        <f>T("OREGON DISTRICT")</f>
        <v>OREGON DISTRICT</v>
      </c>
      <c r="C28" t="str">
        <f>T("10615 SE CHERRY BLOSSUM DR")</f>
        <v>10615 SE CHERRY BLOSSUM DR</v>
      </c>
      <c r="D28" t="s">
        <v>11</v>
      </c>
      <c r="E28" t="s">
        <v>11</v>
      </c>
      <c r="F28" t="s">
        <v>11</v>
      </c>
      <c r="G28" t="str">
        <f>T("PORTLAND")</f>
        <v>PORTLAND</v>
      </c>
      <c r="H28" t="str">
        <f>T("OR ")</f>
        <v>OR </v>
      </c>
      <c r="I28" s="1">
        <f>N(97216)</f>
        <v>97216</v>
      </c>
      <c r="J28" s="1">
        <f>N(5032513200)</f>
        <v>5032513200</v>
      </c>
      <c r="K28" s="1">
        <f>N(5032513470)</f>
        <v>5032513470</v>
      </c>
    </row>
    <row r="29" spans="1:11" ht="12.75">
      <c r="A29" s="1" t="s">
        <v>22</v>
      </c>
      <c r="B29" t="str">
        <f>T("UTAH DISTRICT")</f>
        <v>UTAH DISTRICT</v>
      </c>
      <c r="C29" t="str">
        <f>T("2329 ORTON CIRCLE")</f>
        <v>2329 ORTON CIRCLE</v>
      </c>
      <c r="D29" t="s">
        <v>11</v>
      </c>
      <c r="E29" t="s">
        <v>11</v>
      </c>
      <c r="F29" t="s">
        <v>11</v>
      </c>
      <c r="G29" t="str">
        <f>T("WEST VALLEY CITY")</f>
        <v>WEST VALLEY CITY</v>
      </c>
      <c r="H29" t="str">
        <f>T("UT ")</f>
        <v>UT </v>
      </c>
      <c r="I29" s="1">
        <f>N(84119)</f>
        <v>84119</v>
      </c>
      <c r="J29" s="1">
        <f>N(8019085000)</f>
        <v>8019085000</v>
      </c>
      <c r="K29" s="1">
        <f>N(8019085001)</f>
        <v>8019085001</v>
      </c>
    </row>
    <row r="30" spans="1:11" ht="12.75">
      <c r="A30" s="1" t="s">
        <v>22</v>
      </c>
      <c r="B30" t="str">
        <f>T("WASHINGTON DISTRICT")</f>
        <v>WASHINGTON DISTRICT</v>
      </c>
      <c r="C30" t="str">
        <f>T("1201 PACIFIC AVE")</f>
        <v>1201 PACIFIC AVE</v>
      </c>
      <c r="D30" t="str">
        <f>T("SUITE 600")</f>
        <v>SUITE 600</v>
      </c>
      <c r="E30" t="s">
        <v>11</v>
      </c>
      <c r="F30" t="s">
        <v>11</v>
      </c>
      <c r="G30" t="str">
        <f>T("TACOMA")</f>
        <v>TACOMA</v>
      </c>
      <c r="H30" t="str">
        <f>T("WA ")</f>
        <v>WA </v>
      </c>
      <c r="I30" s="1">
        <f>N(98402)</f>
        <v>98402</v>
      </c>
      <c r="J30" s="1">
        <f>N(2534283600)</f>
        <v>2534283600</v>
      </c>
      <c r="K30" s="1">
        <f>N(2534283614)</f>
        <v>2534283614</v>
      </c>
    </row>
    <row r="31" spans="1:11" ht="12.75">
      <c r="A31" s="1" t="s">
        <v>22</v>
      </c>
      <c r="B31" t="str">
        <f>T("CASCADES VOLCANO OBSERVATORY")</f>
        <v>CASCADES VOLCANO OBSERVATORY</v>
      </c>
      <c r="C31" t="str">
        <f>T("1300 SE CARDINAL COURT")</f>
        <v>1300 SE CARDINAL COURT</v>
      </c>
      <c r="D31" t="str">
        <f>T("BUILDING 10  SUITE 100 ")</f>
        <v>BUILDING 10  SUITE 100 </v>
      </c>
      <c r="E31" t="s">
        <v>11</v>
      </c>
      <c r="F31" t="s">
        <v>11</v>
      </c>
      <c r="G31" t="str">
        <f>T("VANCOUVER")</f>
        <v>VANCOUVER</v>
      </c>
      <c r="H31" t="str">
        <f>T("WA ")</f>
        <v>WA </v>
      </c>
      <c r="I31" s="1">
        <f>N(98683)</f>
        <v>98683</v>
      </c>
      <c r="J31" s="1">
        <f>N(3609938905)</f>
        <v>3609938905</v>
      </c>
      <c r="K31" s="1">
        <f>N(3609938980)</f>
        <v>3609938980</v>
      </c>
    </row>
    <row r="32" spans="1:11" ht="12.75">
      <c r="A32" s="1" t="s">
        <v>22</v>
      </c>
      <c r="B32" t="str">
        <f>T("WR-REX GEOLOGY")</f>
        <v>WR-REX GEOLOGY</v>
      </c>
      <c r="C32" t="str">
        <f>T("2255 N GEMINI DR")</f>
        <v>2255 N GEMINI DR</v>
      </c>
      <c r="D32" t="s">
        <v>11</v>
      </c>
      <c r="E32" t="s">
        <v>11</v>
      </c>
      <c r="F32" t="s">
        <v>11</v>
      </c>
      <c r="G32" t="str">
        <f>T("FLAGSTAFF")</f>
        <v>FLAGSTAFF</v>
      </c>
      <c r="H32" t="str">
        <f>T("AZ ")</f>
        <v>AZ </v>
      </c>
      <c r="I32" s="1">
        <f>N(86001)</f>
        <v>86001</v>
      </c>
      <c r="J32" s="1">
        <f>N(9285567150)</f>
        <v>9285567150</v>
      </c>
      <c r="K32" s="1">
        <f>N(9285567266)</f>
        <v>9285567266</v>
      </c>
    </row>
    <row r="33" spans="1:11" ht="12.75">
      <c r="A33" s="1" t="s">
        <v>22</v>
      </c>
      <c r="B33" t="str">
        <f>T("MINERAL RES SRVY TEAM")</f>
        <v>MINERAL RES SRVY TEAM</v>
      </c>
      <c r="C33" t="str">
        <f>T("520 N. PARK AVE  SUITE 355 ")</f>
        <v>520 N. PARK AVE  SUITE 355 </v>
      </c>
      <c r="D33" t="s">
        <v>11</v>
      </c>
      <c r="E33" t="s">
        <v>11</v>
      </c>
      <c r="F33" t="s">
        <v>11</v>
      </c>
      <c r="G33" t="str">
        <f>T("TUCSON")</f>
        <v>TUCSON</v>
      </c>
      <c r="H33" t="str">
        <f>T("AZ ")</f>
        <v>AZ </v>
      </c>
      <c r="I33" s="1">
        <f>N(85719)</f>
        <v>85719</v>
      </c>
      <c r="J33" s="1">
        <f>N(5206705578)</f>
        <v>5206705578</v>
      </c>
      <c r="K33" s="1">
        <f>N(5206705571)</f>
        <v>5206705571</v>
      </c>
    </row>
    <row r="34" spans="1:11" ht="12.75">
      <c r="A34" s="1" t="s">
        <v>22</v>
      </c>
      <c r="B34" t="str">
        <f>T("EARTH SURF PROC TEAM")</f>
        <v>EARTH SURF PROC TEAM</v>
      </c>
      <c r="C34" t="str">
        <f>T("904 W RIVERSIDE AVE  STE 202 ")</f>
        <v>904 W RIVERSIDE AVE  STE 202 </v>
      </c>
      <c r="D34" t="s">
        <v>11</v>
      </c>
      <c r="E34" t="s">
        <v>11</v>
      </c>
      <c r="F34" t="s">
        <v>11</v>
      </c>
      <c r="G34" t="str">
        <f>T("SPOKANE")</f>
        <v>SPOKANE</v>
      </c>
      <c r="H34" t="str">
        <f>T("WA ")</f>
        <v>WA </v>
      </c>
      <c r="I34" s="1">
        <f>N(99201)</f>
        <v>99201</v>
      </c>
      <c r="J34" s="1">
        <f>N(5203683123)</f>
        <v>5203683123</v>
      </c>
      <c r="K34" s="1">
        <f>N(5203683199)</f>
        <v>5203683199</v>
      </c>
    </row>
    <row r="35" spans="1:11" ht="12.75">
      <c r="A35" s="1" t="s">
        <v>22</v>
      </c>
      <c r="B35" t="str">
        <f>T("COASTAL &amp; MARINE GEOLOGY TEA")</f>
        <v>COASTAL &amp; MARINE GEOLOGY TEA</v>
      </c>
      <c r="C35" t="str">
        <f>T("345 MIDDLEFIELD ROAD MS 999")</f>
        <v>345 MIDDLEFIELD ROAD MS 999</v>
      </c>
      <c r="D35" t="s">
        <v>11</v>
      </c>
      <c r="E35" t="s">
        <v>11</v>
      </c>
      <c r="F35" t="s">
        <v>11</v>
      </c>
      <c r="G35" t="str">
        <f>T("MENLO PARK")</f>
        <v>MENLO PARK</v>
      </c>
      <c r="H35" t="str">
        <f>T("CA ")</f>
        <v>CA </v>
      </c>
      <c r="I35" s="1">
        <f>N(94025)</f>
        <v>94025</v>
      </c>
      <c r="J35" s="1">
        <f>N(8314593431)</f>
        <v>8314593431</v>
      </c>
      <c r="K35" s="1">
        <f>N(8314593707)</f>
        <v>8314593707</v>
      </c>
    </row>
    <row r="36" spans="1:11" ht="12.75">
      <c r="A36" s="1" t="s">
        <v>22</v>
      </c>
      <c r="B36" t="str">
        <f>T("EARTHQUAKE HAZARDS TEAM")</f>
        <v>EARTHQUAKE HAZARDS TEAM</v>
      </c>
      <c r="C36" t="str">
        <f>T("525 S WILSON AVE")</f>
        <v>525 S WILSON AVE</v>
      </c>
      <c r="D36" t="s">
        <v>11</v>
      </c>
      <c r="E36" t="s">
        <v>11</v>
      </c>
      <c r="F36" t="s">
        <v>11</v>
      </c>
      <c r="G36" t="str">
        <f>T("PASADENA")</f>
        <v>PASADENA</v>
      </c>
      <c r="H36" t="str">
        <f>T("CA ")</f>
        <v>CA </v>
      </c>
      <c r="I36" s="1">
        <f>N(91106)</f>
        <v>91106</v>
      </c>
      <c r="J36" s="1">
        <f>N(6265837234)</f>
        <v>6265837234</v>
      </c>
      <c r="K36" s="1">
        <f>N(6265837236)</f>
        <v>6265837236</v>
      </c>
    </row>
    <row r="37" spans="1:11" ht="12.75">
      <c r="A37" s="1" t="s">
        <v>22</v>
      </c>
      <c r="B37" t="str">
        <f>T("VOLCANO HAZARDS TEAM")</f>
        <v>VOLCANO HAZARDS TEAM</v>
      </c>
      <c r="C37" t="str">
        <f>T("345 MIDDLEFIELD ROAD MS 910")</f>
        <v>345 MIDDLEFIELD ROAD MS 910</v>
      </c>
      <c r="D37" t="s">
        <v>11</v>
      </c>
      <c r="E37" t="s">
        <v>11</v>
      </c>
      <c r="F37" t="s">
        <v>11</v>
      </c>
      <c r="G37" t="str">
        <f>T("MENLO PARK")</f>
        <v>MENLO PARK</v>
      </c>
      <c r="H37" t="str">
        <f>T("CA ")</f>
        <v>CA </v>
      </c>
      <c r="I37" s="1">
        <f>N(94025)</f>
        <v>94025</v>
      </c>
      <c r="J37" s="1">
        <f>N(6503295295)</f>
        <v>6503295295</v>
      </c>
      <c r="K37" s="1">
        <f>N(6503295203)</f>
        <v>6503295203</v>
      </c>
    </row>
    <row r="38" spans="1:11" ht="12.75">
      <c r="A38" s="1" t="s">
        <v>22</v>
      </c>
      <c r="B38" t="str">
        <f>T("ASTROGEOLOGY TEAM")</f>
        <v>ASTROGEOLOGY TEAM</v>
      </c>
      <c r="C38" t="str">
        <f>T("2255 N GEMINI DR")</f>
        <v>2255 N GEMINI DR</v>
      </c>
      <c r="D38" t="s">
        <v>11</v>
      </c>
      <c r="E38" t="s">
        <v>11</v>
      </c>
      <c r="F38" t="s">
        <v>11</v>
      </c>
      <c r="G38" t="str">
        <f>T("FLAGSTAFF")</f>
        <v>FLAGSTAFF</v>
      </c>
      <c r="H38" t="str">
        <f>T("AZ ")</f>
        <v>AZ </v>
      </c>
      <c r="I38" s="1">
        <f>N(86001)</f>
        <v>86001</v>
      </c>
      <c r="J38" s="1">
        <f>N(9285567025)</f>
        <v>9285567025</v>
      </c>
      <c r="K38" s="1">
        <f>N(9285567014)</f>
        <v>9285567014</v>
      </c>
    </row>
    <row r="39" spans="1:11" ht="12.75">
      <c r="A39" s="1" t="s">
        <v>22</v>
      </c>
      <c r="B39" t="str">
        <f>T("WR-REX GEOGRAPHY")</f>
        <v>WR-REX GEOGRAPHY</v>
      </c>
      <c r="C39" t="str">
        <f>T("345 MIDDLEFIELD RD MS 531")</f>
        <v>345 MIDDLEFIELD RD MS 531</v>
      </c>
      <c r="D39" t="s">
        <v>11</v>
      </c>
      <c r="E39" t="s">
        <v>11</v>
      </c>
      <c r="F39" t="s">
        <v>11</v>
      </c>
      <c r="G39" t="str">
        <f>T("MENLO PARK")</f>
        <v>MENLO PARK</v>
      </c>
      <c r="H39" t="str">
        <f>T("CA ")</f>
        <v>CA </v>
      </c>
      <c r="I39" s="1">
        <f>N(94025)</f>
        <v>94025</v>
      </c>
      <c r="J39" s="1">
        <f>N(6503295646)</f>
        <v>6503295646</v>
      </c>
      <c r="K39" s="1">
        <f>N(6503294710)</f>
        <v>6503294710</v>
      </c>
    </row>
    <row r="40" spans="1:11" ht="12.75">
      <c r="A40" s="1" t="s">
        <v>22</v>
      </c>
      <c r="B40" t="str">
        <f>T("WESTERN GEOGRAPHIC SCI CTR")</f>
        <v>WESTERN GEOGRAPHIC SCI CTR</v>
      </c>
      <c r="C40" t="str">
        <f>T("US GEOLOGICAL SURVEY ")</f>
        <v>US GEOLOGICAL SURVEY </v>
      </c>
      <c r="D40" t="str">
        <f>T("12201 SUNRISE VALLEY DRIVE")</f>
        <v>12201 SUNRISE VALLEY DRIVE</v>
      </c>
      <c r="E40" t="s">
        <v>11</v>
      </c>
      <c r="F40" t="s">
        <v>11</v>
      </c>
      <c r="G40" t="str">
        <f>T("RESTON")</f>
        <v>RESTON</v>
      </c>
      <c r="H40" t="str">
        <f>T("VA ")</f>
        <v>VA </v>
      </c>
      <c r="I40" s="1">
        <f>N(20192)</f>
        <v>20192</v>
      </c>
      <c r="J40" s="1" t="str">
        <f>T("703-648-7350")</f>
        <v>703-648-7350</v>
      </c>
      <c r="K40" s="1" t="s">
        <v>11</v>
      </c>
    </row>
    <row r="41" spans="1:11" ht="12.75">
      <c r="A41" s="1" t="s">
        <v>22</v>
      </c>
      <c r="B41" t="str">
        <f>T("PACIFIC GEOGRAPHIC SCI TEAM")</f>
        <v>PACIFIC GEOGRAPHIC SCI TEAM</v>
      </c>
      <c r="C41" t="str">
        <f>T("US GEOLOGICAL SURVEY ")</f>
        <v>US GEOLOGICAL SURVEY </v>
      </c>
      <c r="D41" t="str">
        <f>T("12201 SUNRISE VALLEY DRIVE")</f>
        <v>12201 SUNRISE VALLEY DRIVE</v>
      </c>
      <c r="E41" t="s">
        <v>11</v>
      </c>
      <c r="F41" t="s">
        <v>11</v>
      </c>
      <c r="G41" t="str">
        <f>T("RESTON")</f>
        <v>RESTON</v>
      </c>
      <c r="H41" t="str">
        <f>T("VA ")</f>
        <v>VA </v>
      </c>
      <c r="I41" s="1">
        <f>N(20192)</f>
        <v>20192</v>
      </c>
      <c r="J41" s="1" t="str">
        <f>T("703-648-7350")</f>
        <v>703-648-7350</v>
      </c>
      <c r="K41" s="1" t="s">
        <v>11</v>
      </c>
    </row>
    <row r="42" spans="1:11" ht="12.75">
      <c r="A42" s="1" t="s">
        <v>22</v>
      </c>
      <c r="B42" t="str">
        <f>T("SOUTHWEST GEOGRAPHIC SCI TEAM")</f>
        <v>SOUTHWEST GEOGRAPHIC SCI TEAM</v>
      </c>
      <c r="C42" t="str">
        <f>T("US GEOLOGICAL SURVEY ")</f>
        <v>US GEOLOGICAL SURVEY </v>
      </c>
      <c r="D42" t="str">
        <f>T("12201 SUNRISE VALLEY DRIVE")</f>
        <v>12201 SUNRISE VALLEY DRIVE</v>
      </c>
      <c r="E42" t="s">
        <v>11</v>
      </c>
      <c r="F42" t="s">
        <v>11</v>
      </c>
      <c r="G42" t="str">
        <f>T("RESTON")</f>
        <v>RESTON</v>
      </c>
      <c r="H42" t="str">
        <f>T("VA ")</f>
        <v>VA </v>
      </c>
      <c r="I42" s="1">
        <f>N(20192)</f>
        <v>20192</v>
      </c>
      <c r="J42" s="1" t="str">
        <f>T("703-648-7350")</f>
        <v>703-648-7350</v>
      </c>
      <c r="K42" s="1" t="s">
        <v>11</v>
      </c>
    </row>
    <row r="43" spans="1:11" ht="12.75">
      <c r="A43" s="1" t="s">
        <v>22</v>
      </c>
      <c r="B43" t="str">
        <f>T("WESTERN REGION ADMIN SERVICES")</f>
        <v>WESTERN REGION ADMIN SERVICES</v>
      </c>
      <c r="C43" t="str">
        <f>T("345 MIDDLEFIELD ROAD MS 285")</f>
        <v>345 MIDDLEFIELD ROAD MS 285</v>
      </c>
      <c r="D43" t="s">
        <v>11</v>
      </c>
      <c r="E43" t="s">
        <v>11</v>
      </c>
      <c r="F43" t="s">
        <v>11</v>
      </c>
      <c r="G43" t="str">
        <f>T("MENLO PARK")</f>
        <v>MENLO PARK</v>
      </c>
      <c r="H43" t="str">
        <f>T("CA ")</f>
        <v>CA </v>
      </c>
      <c r="I43" s="1">
        <f>N(94025)</f>
        <v>94025</v>
      </c>
      <c r="J43" s="1">
        <f>N(6503294132)</f>
        <v>6503294132</v>
      </c>
      <c r="K43" s="1">
        <f>N(6503295517)</f>
        <v>6503295517</v>
      </c>
    </row>
    <row r="44" spans="1:11" ht="12.75">
      <c r="A44" s="1" t="s">
        <v>22</v>
      </c>
      <c r="B44" t="str">
        <f>T("BR OF FISCAL SERVICES")</f>
        <v>BR OF FISCAL SERVICES</v>
      </c>
      <c r="C44" t="str">
        <f>T("345 MIDDLEFIELD RD  MS 206 ")</f>
        <v>345 MIDDLEFIELD RD  MS 206 </v>
      </c>
      <c r="D44" t="s">
        <v>11</v>
      </c>
      <c r="E44" t="s">
        <v>11</v>
      </c>
      <c r="F44" t="s">
        <v>11</v>
      </c>
      <c r="G44" t="str">
        <f>T("MENLO PARK")</f>
        <v>MENLO PARK</v>
      </c>
      <c r="H44" t="str">
        <f>T("CA ")</f>
        <v>CA </v>
      </c>
      <c r="I44" s="1">
        <f>N(94025)</f>
        <v>94025</v>
      </c>
      <c r="J44" s="1">
        <f>N(6503294267)</f>
        <v>6503294267</v>
      </c>
      <c r="K44" s="1">
        <f>N(6503295138)</f>
        <v>6503295138</v>
      </c>
    </row>
    <row r="45" spans="1:11" ht="12.75">
      <c r="A45" s="1" t="s">
        <v>22</v>
      </c>
      <c r="B45" t="str">
        <f>T("BRANCH OF PERSONNEL")</f>
        <v>BRANCH OF PERSONNEL</v>
      </c>
      <c r="C45" t="str">
        <f>T("7801 FOLSOM BLVD STE 103")</f>
        <v>7801 FOLSOM BLVD STE 103</v>
      </c>
      <c r="D45" t="s">
        <v>11</v>
      </c>
      <c r="E45" t="s">
        <v>11</v>
      </c>
      <c r="F45" t="s">
        <v>11</v>
      </c>
      <c r="G45" t="str">
        <f>T("SACRAMENTO")</f>
        <v>SACRAMENTO</v>
      </c>
      <c r="H45" t="str">
        <f>T("CA ")</f>
        <v>CA </v>
      </c>
      <c r="I45" s="1">
        <f>N(95826)</f>
        <v>95826</v>
      </c>
      <c r="J45" s="1">
        <f>N(6503294095)</f>
        <v>6503294095</v>
      </c>
      <c r="K45" s="1">
        <f>N(6503295142)</f>
        <v>6503295142</v>
      </c>
    </row>
    <row r="46" spans="1:11" ht="12.75">
      <c r="A46" s="1" t="s">
        <v>22</v>
      </c>
      <c r="B46" t="str">
        <f>T("BR OF MANAGEMENT SERVICES")</f>
        <v>BR OF MANAGEMENT SERVICES</v>
      </c>
      <c r="C46" t="str">
        <f>T("7801 FOLSOM BLVD SUITE 210")</f>
        <v>7801 FOLSOM BLVD SUITE 210</v>
      </c>
      <c r="D46" t="s">
        <v>11</v>
      </c>
      <c r="E46" t="s">
        <v>11</v>
      </c>
      <c r="F46" t="s">
        <v>11</v>
      </c>
      <c r="G46" t="str">
        <f>T("SACRAMENTO")</f>
        <v>SACRAMENTO</v>
      </c>
      <c r="H46" t="str">
        <f>T("CA ")</f>
        <v>CA </v>
      </c>
      <c r="I46" s="1">
        <f>N(95826)</f>
        <v>95826</v>
      </c>
      <c r="J46" s="1">
        <f>N(6503294124)</f>
        <v>6503294124</v>
      </c>
      <c r="K46" s="1">
        <f>N(6503295114)</f>
        <v>6503295114</v>
      </c>
    </row>
    <row r="47" spans="1:11" ht="12.75">
      <c r="A47" s="1" t="s">
        <v>22</v>
      </c>
      <c r="B47" t="str">
        <f>T("BR OF ACQUISTION &amp; GRANTS")</f>
        <v>BR OF ACQUISTION &amp; GRANTS</v>
      </c>
      <c r="C47" t="str">
        <f>T("7801 FOLSOM BLVD  SUITE 210 ")</f>
        <v>7801 FOLSOM BLVD  SUITE 210 </v>
      </c>
      <c r="D47" t="s">
        <v>11</v>
      </c>
      <c r="E47" t="s">
        <v>11</v>
      </c>
      <c r="F47" t="s">
        <v>11</v>
      </c>
      <c r="G47" t="str">
        <f>T("SACRAMENTO")</f>
        <v>SACRAMENTO</v>
      </c>
      <c r="H47" t="str">
        <f>T("CA ")</f>
        <v>CA </v>
      </c>
      <c r="I47" s="1">
        <f>N(95826)</f>
        <v>95826</v>
      </c>
      <c r="J47" s="1">
        <f>N(6503294156)</f>
        <v>6503294156</v>
      </c>
      <c r="K47" s="1">
        <f>N(6503295095)</f>
        <v>6503295095</v>
      </c>
    </row>
    <row r="48" spans="1:11" ht="12.75">
      <c r="A48" s="1" t="s">
        <v>22</v>
      </c>
      <c r="B48" t="str">
        <f>T("OFC OF THE DIRECTOR")</f>
        <v>OFC OF THE DIRECTOR</v>
      </c>
      <c r="C48" t="str">
        <f>T("12201 SUNRISE VALLEY DRIVE")</f>
        <v>12201 SUNRISE VALLEY DRIVE</v>
      </c>
      <c r="D48" t="s">
        <v>11</v>
      </c>
      <c r="E48" t="s">
        <v>11</v>
      </c>
      <c r="F48" t="s">
        <v>11</v>
      </c>
      <c r="G48" t="str">
        <f aca="true" t="shared" si="0" ref="G48:G67">T("RESTON")</f>
        <v>RESTON</v>
      </c>
      <c r="H48" t="str">
        <f aca="true" t="shared" si="1" ref="H48:H67">T("VA ")</f>
        <v>VA </v>
      </c>
      <c r="I48" s="1">
        <f aca="true" t="shared" si="2" ref="I48:I67">N(20192)</f>
        <v>20192</v>
      </c>
      <c r="J48" s="1" t="str">
        <f>T("703-648-7350")</f>
        <v>703-648-7350</v>
      </c>
      <c r="K48" s="1" t="s">
        <v>11</v>
      </c>
    </row>
    <row r="49" spans="1:11" ht="12.75">
      <c r="A49" s="1" t="s">
        <v>22</v>
      </c>
      <c r="B49" t="str">
        <f>T("DIRECTORS IMMEDIATE OFFICE")</f>
        <v>DIRECTORS IMMEDIATE OFFICE</v>
      </c>
      <c r="C49" t="str">
        <f>T("12201 SUNRISE VALLEY DRIVE")</f>
        <v>12201 SUNRISE VALLEY DRIVE</v>
      </c>
      <c r="D49" t="str">
        <f>T("NATIONAL CENTER  110 ")</f>
        <v>NATIONAL CENTER  110 </v>
      </c>
      <c r="E49" t="s">
        <v>11</v>
      </c>
      <c r="F49" t="s">
        <v>11</v>
      </c>
      <c r="G49" t="str">
        <f t="shared" si="0"/>
        <v>RESTON</v>
      </c>
      <c r="H49" t="str">
        <f t="shared" si="1"/>
        <v>VA </v>
      </c>
      <c r="I49" s="1">
        <f t="shared" si="2"/>
        <v>20192</v>
      </c>
      <c r="J49" s="1">
        <f>N(7036485817)</f>
        <v>7036485817</v>
      </c>
      <c r="K49" s="1">
        <f>N(7036487031)</f>
        <v>7036487031</v>
      </c>
    </row>
    <row r="50" spans="1:11" ht="12.75">
      <c r="A50" s="1" t="s">
        <v>22</v>
      </c>
      <c r="B50" t="str">
        <f>T("DO-BUDGET")</f>
        <v>DO-BUDGET</v>
      </c>
      <c r="C50" t="str">
        <f>T("12201 SUNSRISE VALLEY DRIVE")</f>
        <v>12201 SUNSRISE VALLEY DRIVE</v>
      </c>
      <c r="D50" t="str">
        <f>T("NATIONAL CENTER  105 ")</f>
        <v>NATIONAL CENTER  105 </v>
      </c>
      <c r="E50" t="s">
        <v>11</v>
      </c>
      <c r="F50" t="s">
        <v>11</v>
      </c>
      <c r="G50" t="str">
        <f t="shared" si="0"/>
        <v>RESTON</v>
      </c>
      <c r="H50" t="str">
        <f t="shared" si="1"/>
        <v>VA </v>
      </c>
      <c r="I50" s="1">
        <f t="shared" si="2"/>
        <v>20192</v>
      </c>
      <c r="J50" s="1">
        <f>N(7036484431)</f>
        <v>7036484431</v>
      </c>
      <c r="K50" s="1">
        <f>N(7036485068)</f>
        <v>7036485068</v>
      </c>
    </row>
    <row r="51" spans="1:11" ht="12.75">
      <c r="A51" s="1" t="s">
        <v>22</v>
      </c>
      <c r="B51" t="str">
        <f>T("DO-COMMUNICATIONS")</f>
        <v>DO-COMMUNICATIONS</v>
      </c>
      <c r="C51" t="str">
        <f>T("12201 SUNSRISE VALLEY DRIVE")</f>
        <v>12201 SUNSRISE VALLEY DRIVE</v>
      </c>
      <c r="D51" t="str">
        <f>T("NATIONAL CENTER  119 ")</f>
        <v>NATIONAL CENTER  119 </v>
      </c>
      <c r="E51" t="s">
        <v>11</v>
      </c>
      <c r="F51" t="s">
        <v>11</v>
      </c>
      <c r="G51" t="str">
        <f t="shared" si="0"/>
        <v>RESTON</v>
      </c>
      <c r="H51" t="str">
        <f t="shared" si="1"/>
        <v>VA </v>
      </c>
      <c r="I51" s="1">
        <f t="shared" si="2"/>
        <v>20192</v>
      </c>
      <c r="J51" s="1">
        <f>N(7036486646)</f>
        <v>7036486646</v>
      </c>
      <c r="K51" s="1">
        <f>N(7036484466)</f>
        <v>7036484466</v>
      </c>
    </row>
    <row r="52" spans="1:11" ht="12.75">
      <c r="A52" s="1" t="s">
        <v>22</v>
      </c>
      <c r="B52" t="str">
        <f>T("OFFICE OF PERSONNEL")</f>
        <v>OFFICE OF PERSONNEL</v>
      </c>
      <c r="C52" t="str">
        <f>T("601 NATIONAL CENTER")</f>
        <v>601 NATIONAL CENTER</v>
      </c>
      <c r="D52" t="s">
        <v>11</v>
      </c>
      <c r="E52" t="s">
        <v>11</v>
      </c>
      <c r="F52" t="s">
        <v>11</v>
      </c>
      <c r="G52" t="str">
        <f t="shared" si="0"/>
        <v>RESTON</v>
      </c>
      <c r="H52" t="str">
        <f t="shared" si="1"/>
        <v>VA </v>
      </c>
      <c r="I52" s="1">
        <f t="shared" si="2"/>
        <v>20192</v>
      </c>
      <c r="J52" s="1">
        <f>N(7036487435)</f>
        <v>7036487435</v>
      </c>
      <c r="K52" s="1">
        <f>N(7036487451)</f>
        <v>7036487451</v>
      </c>
    </row>
    <row r="53" spans="1:11" ht="12.75">
      <c r="A53" s="1" t="s">
        <v>22</v>
      </c>
      <c r="B53" t="str">
        <f>T("OFFICE OF EQUAL OPPORTUNITY")</f>
        <v>OFFICE OF EQUAL OPPORTUNITY</v>
      </c>
      <c r="C53" t="str">
        <f>T("602 NATIONAL CENTER")</f>
        <v>602 NATIONAL CENTER</v>
      </c>
      <c r="D53" t="s">
        <v>11</v>
      </c>
      <c r="E53" t="s">
        <v>11</v>
      </c>
      <c r="F53" t="s">
        <v>11</v>
      </c>
      <c r="G53" t="str">
        <f t="shared" si="0"/>
        <v>RESTON</v>
      </c>
      <c r="H53" t="str">
        <f t="shared" si="1"/>
        <v>VA </v>
      </c>
      <c r="I53" s="1">
        <f t="shared" si="2"/>
        <v>20192</v>
      </c>
      <c r="J53" s="1">
        <f>N(7036487770)</f>
        <v>7036487770</v>
      </c>
      <c r="K53" s="1">
        <f>N(7036484445)</f>
        <v>7036484445</v>
      </c>
    </row>
    <row r="54" spans="1:11" ht="12.75">
      <c r="A54" s="1" t="s">
        <v>22</v>
      </c>
      <c r="B54" t="str">
        <f>T("OFFICE OF EMPLOYEE DEVEL")</f>
        <v>OFFICE OF EMPLOYEE DEVEL</v>
      </c>
      <c r="C54" t="str">
        <f>T("605 NATIONAL CENTER")</f>
        <v>605 NATIONAL CENTER</v>
      </c>
      <c r="D54" t="s">
        <v>11</v>
      </c>
      <c r="E54" t="s">
        <v>11</v>
      </c>
      <c r="F54" t="s">
        <v>11</v>
      </c>
      <c r="G54" t="str">
        <f t="shared" si="0"/>
        <v>RESTON</v>
      </c>
      <c r="H54" t="str">
        <f t="shared" si="1"/>
        <v>VA </v>
      </c>
      <c r="I54" s="1">
        <f t="shared" si="2"/>
        <v>20192</v>
      </c>
      <c r="J54" s="1">
        <f>N(7036485762)</f>
        <v>7036485762</v>
      </c>
      <c r="K54" s="1">
        <f>N(7036484688)</f>
        <v>7036484688</v>
      </c>
    </row>
    <row r="55" spans="1:11" ht="12.75">
      <c r="A55" s="1" t="s">
        <v>22</v>
      </c>
      <c r="B55" t="str">
        <f>T("GEOGRAPHIC INFORMATION OFFICER")</f>
        <v>GEOGRAPHIC INFORMATION OFFICER</v>
      </c>
      <c r="C55" t="str">
        <f>T("159 NATIONAL CENTER")</f>
        <v>159 NATIONAL CENTER</v>
      </c>
      <c r="D55" t="s">
        <v>11</v>
      </c>
      <c r="E55" t="s">
        <v>11</v>
      </c>
      <c r="F55" t="s">
        <v>11</v>
      </c>
      <c r="G55" t="str">
        <f t="shared" si="0"/>
        <v>RESTON</v>
      </c>
      <c r="H55" t="str">
        <f t="shared" si="1"/>
        <v>VA </v>
      </c>
      <c r="I55" s="1">
        <f t="shared" si="2"/>
        <v>20192</v>
      </c>
      <c r="J55" s="1">
        <f>N(7036485780)</f>
        <v>7036485780</v>
      </c>
      <c r="K55" s="1">
        <f>N(7036486821)</f>
        <v>7036486821</v>
      </c>
    </row>
    <row r="56" spans="1:11" ht="12.75">
      <c r="A56" s="1" t="s">
        <v>22</v>
      </c>
      <c r="B56" t="str">
        <f>T("ADMIN POLICY &amp; SERVICES")</f>
        <v>ADMIN POLICY &amp; SERVICES</v>
      </c>
      <c r="C56" t="str">
        <f>T("201 NATIONAL CENTER")</f>
        <v>201 NATIONAL CENTER</v>
      </c>
      <c r="D56" t="s">
        <v>11</v>
      </c>
      <c r="E56" t="s">
        <v>11</v>
      </c>
      <c r="F56" t="s">
        <v>11</v>
      </c>
      <c r="G56" t="str">
        <f t="shared" si="0"/>
        <v>RESTON</v>
      </c>
      <c r="H56" t="str">
        <f t="shared" si="1"/>
        <v>VA </v>
      </c>
      <c r="I56" s="1">
        <f t="shared" si="2"/>
        <v>20192</v>
      </c>
      <c r="J56" s="1">
        <f>N(7036484161)</f>
        <v>7036484161</v>
      </c>
      <c r="K56" s="1">
        <f>N(7036487219)</f>
        <v>7036487219</v>
      </c>
    </row>
    <row r="57" spans="1:11" ht="12.75">
      <c r="A57" s="1" t="s">
        <v>22</v>
      </c>
      <c r="B57" t="str">
        <f>T("OFFICE OF FISCAL SERVICES")</f>
        <v>OFFICE OF FISCAL SERVICES</v>
      </c>
      <c r="C57" t="str">
        <f>T("202 NATIONAL CENTER")</f>
        <v>202 NATIONAL CENTER</v>
      </c>
      <c r="D57" t="s">
        <v>11</v>
      </c>
      <c r="E57" t="s">
        <v>11</v>
      </c>
      <c r="F57" t="s">
        <v>11</v>
      </c>
      <c r="G57" t="str">
        <f t="shared" si="0"/>
        <v>RESTON</v>
      </c>
      <c r="H57" t="str">
        <f t="shared" si="1"/>
        <v>VA </v>
      </c>
      <c r="I57" s="1">
        <f t="shared" si="2"/>
        <v>20192</v>
      </c>
      <c r="J57" s="1">
        <f>N(7036484118)</f>
        <v>7036484118</v>
      </c>
      <c r="K57" s="1">
        <f>N(7036484454)</f>
        <v>7036484454</v>
      </c>
    </row>
    <row r="58" spans="1:11" ht="12.75">
      <c r="A58" s="1" t="s">
        <v>22</v>
      </c>
      <c r="B58" t="str">
        <f>T("OFC OF ACCT &amp; FINANCIAL MGMT")</f>
        <v>OFC OF ACCT &amp; FINANCIAL MGMT</v>
      </c>
      <c r="C58" t="str">
        <f>T("270 NATIONAL CENTER")</f>
        <v>270 NATIONAL CENTER</v>
      </c>
      <c r="D58" t="s">
        <v>11</v>
      </c>
      <c r="E58" t="s">
        <v>11</v>
      </c>
      <c r="F58" t="s">
        <v>11</v>
      </c>
      <c r="G58" t="str">
        <f t="shared" si="0"/>
        <v>RESTON</v>
      </c>
      <c r="H58" t="str">
        <f t="shared" si="1"/>
        <v>VA </v>
      </c>
      <c r="I58" s="1">
        <f t="shared" si="2"/>
        <v>20192</v>
      </c>
      <c r="J58" s="1">
        <f>N(7036487648)</f>
        <v>7036487648</v>
      </c>
      <c r="K58" s="1">
        <f>N(7036484112)</f>
        <v>7036484112</v>
      </c>
    </row>
    <row r="59" spans="1:11" ht="12.75">
      <c r="A59" s="1" t="s">
        <v>22</v>
      </c>
      <c r="B59" t="str">
        <f>T("OFFICE OF MANAGEMENT SERVICES")</f>
        <v>OFFICE OF MANAGEMENT SERVICES</v>
      </c>
      <c r="C59" t="str">
        <f>T("231 NATIONAL CENTER")</f>
        <v>231 NATIONAL CENTER</v>
      </c>
      <c r="D59" t="s">
        <v>11</v>
      </c>
      <c r="E59" t="s">
        <v>11</v>
      </c>
      <c r="F59" t="s">
        <v>11</v>
      </c>
      <c r="G59" t="str">
        <f t="shared" si="0"/>
        <v>RESTON</v>
      </c>
      <c r="H59" t="str">
        <f t="shared" si="1"/>
        <v>VA </v>
      </c>
      <c r="I59" s="1">
        <f t="shared" si="2"/>
        <v>20192</v>
      </c>
      <c r="J59" s="1">
        <f>N(7036487281)</f>
        <v>7036487281</v>
      </c>
      <c r="K59" s="1">
        <f>N(7036487226)</f>
        <v>7036487226</v>
      </c>
    </row>
    <row r="60" spans="1:11" ht="12.75">
      <c r="A60" s="1" t="s">
        <v>22</v>
      </c>
      <c r="B60" t="str">
        <f>T("MATERIALS MANAGEMENT BRANCH")</f>
        <v>MATERIALS MANAGEMENT BRANCH</v>
      </c>
      <c r="C60" t="str">
        <f>T("231 NATIONAL CENTER")</f>
        <v>231 NATIONAL CENTER</v>
      </c>
      <c r="D60" t="s">
        <v>11</v>
      </c>
      <c r="E60" t="s">
        <v>11</v>
      </c>
      <c r="F60" t="s">
        <v>11</v>
      </c>
      <c r="G60" t="str">
        <f t="shared" si="0"/>
        <v>RESTON</v>
      </c>
      <c r="H60" t="str">
        <f t="shared" si="1"/>
        <v>VA </v>
      </c>
      <c r="I60" s="1">
        <f t="shared" si="2"/>
        <v>20192</v>
      </c>
      <c r="J60" s="1">
        <f>N(7036487352)</f>
        <v>7036487352</v>
      </c>
      <c r="K60" s="1">
        <f>N(7036484112)</f>
        <v>7036484112</v>
      </c>
    </row>
    <row r="61" spans="1:11" ht="12.75">
      <c r="A61" s="1" t="s">
        <v>22</v>
      </c>
      <c r="B61" t="str">
        <f>T("FACILITIES MANAGEMENT BRANCH")</f>
        <v>FACILITIES MANAGEMENT BRANCH</v>
      </c>
      <c r="C61" t="str">
        <f>T("209 NATIONAL CENTER")</f>
        <v>209 NATIONAL CENTER</v>
      </c>
      <c r="D61" t="s">
        <v>11</v>
      </c>
      <c r="E61" t="s">
        <v>11</v>
      </c>
      <c r="F61" t="s">
        <v>11</v>
      </c>
      <c r="G61" t="str">
        <f t="shared" si="0"/>
        <v>RESTON</v>
      </c>
      <c r="H61" t="str">
        <f t="shared" si="1"/>
        <v>VA </v>
      </c>
      <c r="I61" s="1">
        <f t="shared" si="2"/>
        <v>20192</v>
      </c>
      <c r="J61" s="1">
        <f>N(7036487526)</f>
        <v>7036487526</v>
      </c>
      <c r="K61" s="1">
        <f>N(7036487527)</f>
        <v>7036487527</v>
      </c>
    </row>
    <row r="62" spans="1:11" ht="12.75">
      <c r="A62" s="1" t="s">
        <v>22</v>
      </c>
      <c r="B62" t="str">
        <f>T("SECURITY MANAGEMENT")</f>
        <v>SECURITY MANAGEMENT</v>
      </c>
      <c r="C62" t="str">
        <f>T("250 NATIONAL CENTER")</f>
        <v>250 NATIONAL CENTER</v>
      </c>
      <c r="D62" t="s">
        <v>11</v>
      </c>
      <c r="E62" t="s">
        <v>11</v>
      </c>
      <c r="F62" t="s">
        <v>11</v>
      </c>
      <c r="G62" t="str">
        <f t="shared" si="0"/>
        <v>RESTON</v>
      </c>
      <c r="H62" t="str">
        <f t="shared" si="1"/>
        <v>VA </v>
      </c>
      <c r="I62" s="1">
        <f t="shared" si="2"/>
        <v>20192</v>
      </c>
      <c r="J62" s="1">
        <f>N(7036484470)</f>
        <v>7036484470</v>
      </c>
      <c r="K62" s="1">
        <f>N(7036487475)</f>
        <v>7036487475</v>
      </c>
    </row>
    <row r="63" spans="1:11" ht="12.75">
      <c r="A63" s="1" t="s">
        <v>22</v>
      </c>
      <c r="B63" t="str">
        <f>T("PROPERTY MANAGEMENT BRANCH")</f>
        <v>PROPERTY MANAGEMENT BRANCH</v>
      </c>
      <c r="C63" t="str">
        <f>T("210 NATIONAL CENTER")</f>
        <v>210 NATIONAL CENTER</v>
      </c>
      <c r="D63" t="s">
        <v>11</v>
      </c>
      <c r="E63" t="s">
        <v>11</v>
      </c>
      <c r="F63" t="s">
        <v>11</v>
      </c>
      <c r="G63" t="str">
        <f t="shared" si="0"/>
        <v>RESTON</v>
      </c>
      <c r="H63" t="str">
        <f t="shared" si="1"/>
        <v>VA </v>
      </c>
      <c r="I63" s="1">
        <f t="shared" si="2"/>
        <v>20192</v>
      </c>
      <c r="J63" s="1">
        <f>N(7036487324)</f>
        <v>7036487324</v>
      </c>
      <c r="K63" s="1">
        <f>N(7036487527)</f>
        <v>7036487527</v>
      </c>
    </row>
    <row r="64" spans="1:11" ht="12.75">
      <c r="A64" s="1" t="s">
        <v>22</v>
      </c>
      <c r="B64" t="str">
        <f>T("SAFETY &amp; ENVIRON MGMT BRANCH")</f>
        <v>SAFETY &amp; ENVIRON MGMT BRANCH</v>
      </c>
      <c r="C64" t="str">
        <f>T("246 NATIONAL CENTER")</f>
        <v>246 NATIONAL CENTER</v>
      </c>
      <c r="D64" t="s">
        <v>11</v>
      </c>
      <c r="E64" t="s">
        <v>11</v>
      </c>
      <c r="F64" t="s">
        <v>11</v>
      </c>
      <c r="G64" t="str">
        <f t="shared" si="0"/>
        <v>RESTON</v>
      </c>
      <c r="H64" t="str">
        <f t="shared" si="1"/>
        <v>VA </v>
      </c>
      <c r="I64" s="1">
        <f t="shared" si="2"/>
        <v>20192</v>
      </c>
      <c r="J64" s="1">
        <f>N(7036487345)</f>
        <v>7036487345</v>
      </c>
      <c r="K64" s="1">
        <f>N(7036487557)</f>
        <v>7036487557</v>
      </c>
    </row>
    <row r="65" spans="1:11" ht="12.75">
      <c r="A65" s="1" t="s">
        <v>22</v>
      </c>
      <c r="B65" t="str">
        <f>T("OFFICE OF INFORMATION SERVICES")</f>
        <v>OFFICE OF INFORMATION SERVICES</v>
      </c>
      <c r="C65" t="str">
        <f>T("801 NATIONAL CENTER")</f>
        <v>801 NATIONAL CENTER</v>
      </c>
      <c r="D65" t="s">
        <v>11</v>
      </c>
      <c r="E65" t="s">
        <v>11</v>
      </c>
      <c r="F65" t="s">
        <v>11</v>
      </c>
      <c r="G65" t="str">
        <f t="shared" si="0"/>
        <v>RESTON</v>
      </c>
      <c r="H65" t="str">
        <f t="shared" si="1"/>
        <v>VA </v>
      </c>
      <c r="I65" s="1">
        <f t="shared" si="2"/>
        <v>20192</v>
      </c>
      <c r="J65" s="1">
        <f>N(7036484620)</f>
        <v>7036484620</v>
      </c>
      <c r="K65" s="1">
        <f>N(7036487069)</f>
        <v>7036487069</v>
      </c>
    </row>
    <row r="66" spans="1:11" ht="12.75">
      <c r="A66" s="1" t="s">
        <v>22</v>
      </c>
      <c r="B66" t="str">
        <f>T("BUS APP &amp; SUPPORT BR")</f>
        <v>BUS APP &amp; SUPPORT BR</v>
      </c>
      <c r="C66" t="str">
        <f>T("807 NATIONAL CENTER")</f>
        <v>807 NATIONAL CENTER</v>
      </c>
      <c r="D66" t="s">
        <v>11</v>
      </c>
      <c r="E66" t="s">
        <v>11</v>
      </c>
      <c r="F66" t="s">
        <v>11</v>
      </c>
      <c r="G66" t="str">
        <f t="shared" si="0"/>
        <v>RESTON</v>
      </c>
      <c r="H66" t="str">
        <f t="shared" si="1"/>
        <v>VA </v>
      </c>
      <c r="I66" s="1">
        <f t="shared" si="2"/>
        <v>20192</v>
      </c>
      <c r="J66" s="1">
        <f>N(7036487239)</f>
        <v>7036487239</v>
      </c>
      <c r="K66" s="1">
        <f>N(7036487229)</f>
        <v>7036487229</v>
      </c>
    </row>
    <row r="67" spans="1:11" ht="12.75">
      <c r="A67" s="1" t="s">
        <v>22</v>
      </c>
      <c r="B67" t="str">
        <f>T("OFFICE OF ACQUISITION &amp; GRANTS")</f>
        <v>OFFICE OF ACQUISITION &amp; GRANTS</v>
      </c>
      <c r="C67" t="str">
        <f>T("205 NATIONAL CENTER")</f>
        <v>205 NATIONAL CENTER</v>
      </c>
      <c r="D67" t="s">
        <v>11</v>
      </c>
      <c r="E67" t="s">
        <v>11</v>
      </c>
      <c r="F67" t="s">
        <v>11</v>
      </c>
      <c r="G67" t="str">
        <f t="shared" si="0"/>
        <v>RESTON</v>
      </c>
      <c r="H67" t="str">
        <f t="shared" si="1"/>
        <v>VA </v>
      </c>
      <c r="I67" s="1">
        <f t="shared" si="2"/>
        <v>20192</v>
      </c>
      <c r="J67" s="1">
        <f>N(7036487464)</f>
        <v>7036487464</v>
      </c>
      <c r="K67" s="1">
        <f>N(7036487901)</f>
        <v>7036487901</v>
      </c>
    </row>
    <row r="68" spans="1:11" ht="12.75">
      <c r="A68" s="1" t="s">
        <v>22</v>
      </c>
      <c r="B68" t="str">
        <f>T("ASSOC CHIEF BIOLOGIST - INFO")</f>
        <v>ASSOC CHIEF BIOLOGIST - INFO</v>
      </c>
      <c r="C68" t="str">
        <f>T("BOX 25046 MS 302 DFC")</f>
        <v>BOX 25046 MS 302 DFC</v>
      </c>
      <c r="D68" t="s">
        <v>11</v>
      </c>
      <c r="E68" t="s">
        <v>11</v>
      </c>
      <c r="F68" t="s">
        <v>11</v>
      </c>
      <c r="G68" t="str">
        <f>T("DENVER")</f>
        <v>DENVER</v>
      </c>
      <c r="H68" t="str">
        <f>T("CO ")</f>
        <v>CO </v>
      </c>
      <c r="I68" s="1">
        <f>N(80225)</f>
        <v>80225</v>
      </c>
      <c r="J68" s="1">
        <f>N(3032024220)</f>
        <v>3032024220</v>
      </c>
      <c r="K68" s="1">
        <f>N(3032024219)</f>
        <v>3032024219</v>
      </c>
    </row>
    <row r="69" spans="1:11" ht="12.75">
      <c r="A69" s="1" t="s">
        <v>22</v>
      </c>
      <c r="B69" t="str">
        <f>T("CHIEF SCIENTIST FOR RESEARCH")</f>
        <v>CHIEF SCIENTIST FOR RESEARCH</v>
      </c>
      <c r="C69" t="str">
        <f>T("301 NATIONAL CENTER")</f>
        <v>301 NATIONAL CENTER</v>
      </c>
      <c r="D69" t="s">
        <v>11</v>
      </c>
      <c r="E69" t="s">
        <v>11</v>
      </c>
      <c r="F69" t="s">
        <v>11</v>
      </c>
      <c r="G69" t="str">
        <f>T("RESTON")</f>
        <v>RESTON</v>
      </c>
      <c r="H69" t="str">
        <f>T("VA ")</f>
        <v>VA </v>
      </c>
      <c r="I69" s="1">
        <f>N(20192)</f>
        <v>20192</v>
      </c>
      <c r="J69" s="1">
        <f>N(7036484196)</f>
        <v>7036484196</v>
      </c>
      <c r="K69" s="1">
        <f>N(7036484238)</f>
        <v>7036484238</v>
      </c>
    </row>
    <row r="70" spans="1:11" ht="12.75">
      <c r="A70" s="1" t="s">
        <v>22</v>
      </c>
      <c r="B70" t="str">
        <f>T("CHIEF COOPERATIVE RESEARCH UN")</f>
        <v>CHIEF COOPERATIVE RESEARCH UN</v>
      </c>
      <c r="C70" t="str">
        <f>T("12201 SUNSRISE VALLEY DRIVE")</f>
        <v>12201 SUNSRISE VALLEY DRIVE</v>
      </c>
      <c r="D70" t="str">
        <f>T("NATIONAL CENTER  303 ")</f>
        <v>NATIONAL CENTER  303 </v>
      </c>
      <c r="E70" t="s">
        <v>11</v>
      </c>
      <c r="F70" t="s">
        <v>11</v>
      </c>
      <c r="G70" t="str">
        <f>T("RESTON")</f>
        <v>RESTON</v>
      </c>
      <c r="H70" t="str">
        <f>T("VA ")</f>
        <v>VA </v>
      </c>
      <c r="I70" s="1">
        <f>N(20192)</f>
        <v>20192</v>
      </c>
      <c r="J70" s="1">
        <f>N(7036484263)</f>
        <v>7036484263</v>
      </c>
      <c r="K70" s="1">
        <f>N(7036484269)</f>
        <v>7036484269</v>
      </c>
    </row>
    <row r="71" spans="1:11" ht="12.75">
      <c r="A71" s="1" t="s">
        <v>22</v>
      </c>
      <c r="B71" t="str">
        <f>T("ALABAMA CF &amp; WRU")</f>
        <v>ALABAMA CF &amp; WRU</v>
      </c>
      <c r="C71" t="str">
        <f>T("331 FUNCHESS HALL A")</f>
        <v>331 FUNCHESS HALL A</v>
      </c>
      <c r="D71" t="s">
        <v>11</v>
      </c>
      <c r="E71" t="s">
        <v>11</v>
      </c>
      <c r="F71" t="s">
        <v>11</v>
      </c>
      <c r="G71" t="str">
        <f>T("AUBURN A")</f>
        <v>AUBURN A</v>
      </c>
      <c r="H71" t="str">
        <f>T("AL ")</f>
        <v>AL </v>
      </c>
      <c r="I71" s="1">
        <f>N(36849)</f>
        <v>36849</v>
      </c>
      <c r="J71" s="1">
        <f>N(3348444796)</f>
        <v>3348444796</v>
      </c>
      <c r="K71" s="1">
        <f>N(3348449234)</f>
        <v>3348449234</v>
      </c>
    </row>
    <row r="72" spans="1:11" ht="12.75">
      <c r="A72" s="1" t="s">
        <v>22</v>
      </c>
      <c r="B72" t="str">
        <f>T("MISSISSIPPI CF &amp; WRU")</f>
        <v>MISSISSIPPI CF &amp; WRU</v>
      </c>
      <c r="C72" t="str">
        <f>T("MESO COOP FISH AND  WILDLIFE RES UNIT")</f>
        <v>MESO COOP FISH AND  WILDLIFE RES UNIT</v>
      </c>
      <c r="D72" t="str">
        <f>T("MS 9691")</f>
        <v>MS 9691</v>
      </c>
      <c r="E72" t="s">
        <v>11</v>
      </c>
      <c r="F72" t="s">
        <v>11</v>
      </c>
      <c r="G72" t="str">
        <f>T("MISSISSIPPI ST")</f>
        <v>MISSISSIPPI ST</v>
      </c>
      <c r="H72" t="str">
        <f>T("MS ")</f>
        <v>MS </v>
      </c>
      <c r="I72" s="1">
        <f>N(39762)</f>
        <v>39762</v>
      </c>
      <c r="J72" s="1">
        <f>N(6223257495)</f>
        <v>6223257495</v>
      </c>
      <c r="K72" s="1">
        <f>N(6103258726)</f>
        <v>6103258726</v>
      </c>
    </row>
    <row r="73" spans="1:11" ht="12.75">
      <c r="A73" s="1" t="s">
        <v>22</v>
      </c>
      <c r="B73" t="str">
        <f>T("GEORGIA CF &amp; WRU")</f>
        <v>GEORGIA CF &amp; WRU</v>
      </c>
      <c r="C73" t="str">
        <f>T("SCH OF FOREST RES")</f>
        <v>SCH OF FOREST RES</v>
      </c>
      <c r="D73" t="str">
        <f>T("UNIV OF GA")</f>
        <v>UNIV OF GA</v>
      </c>
      <c r="E73" t="s">
        <v>11</v>
      </c>
      <c r="F73" t="s">
        <v>11</v>
      </c>
      <c r="G73" t="str">
        <f>T("ATHENS")</f>
        <v>ATHENS</v>
      </c>
      <c r="H73" t="str">
        <f>T("GA ")</f>
        <v>GA </v>
      </c>
      <c r="I73" s="1">
        <f>N(30602)</f>
        <v>30602</v>
      </c>
      <c r="J73" s="1">
        <f>N(7065424837)</f>
        <v>7065424837</v>
      </c>
      <c r="K73" s="1">
        <f>N(7065428356)</f>
        <v>7065428356</v>
      </c>
    </row>
    <row r="74" spans="1:11" ht="12.75">
      <c r="A74" s="1" t="s">
        <v>22</v>
      </c>
      <c r="B74" t="str">
        <f>T("FLORIDA CF &amp; WRU")</f>
        <v>FLORIDA CF &amp; WRU</v>
      </c>
      <c r="C74" t="str">
        <f>T("UNIVERSITY OF FLORIDA")</f>
        <v>UNIVERSITY OF FLORIDA</v>
      </c>
      <c r="D74" t="str">
        <f>T("BOX 110485 BUILDING 810")</f>
        <v>BOX 110485 BUILDING 810</v>
      </c>
      <c r="E74" t="s">
        <v>11</v>
      </c>
      <c r="F74" t="s">
        <v>11</v>
      </c>
      <c r="G74" t="str">
        <f>T("GAINESVILLE")</f>
        <v>GAINESVILLE</v>
      </c>
      <c r="H74" t="str">
        <f>T("FL ")</f>
        <v>FL </v>
      </c>
      <c r="I74" s="1">
        <f>N(32611)</f>
        <v>32611</v>
      </c>
      <c r="J74" s="1">
        <f>N(3528460536)</f>
        <v>3528460536</v>
      </c>
      <c r="K74" s="1">
        <f>N(3528460841)</f>
        <v>3528460841</v>
      </c>
    </row>
    <row r="75" spans="1:11" ht="12.75">
      <c r="A75" s="1" t="s">
        <v>22</v>
      </c>
      <c r="B75" t="str">
        <f>T("TENNESSEE CFRU")</f>
        <v>TENNESSEE CFRU</v>
      </c>
      <c r="C75" t="str">
        <f>T("FISHERY RESEARCH UNIT")</f>
        <v>FISHERY RESEARCH UNIT</v>
      </c>
      <c r="D75" t="str">
        <f>T("BOX 5114")</f>
        <v>BOX 5114</v>
      </c>
      <c r="E75" t="s">
        <v>11</v>
      </c>
      <c r="F75" t="s">
        <v>11</v>
      </c>
      <c r="G75" t="str">
        <f>T("COOKEVILLE")</f>
        <v>COOKEVILLE</v>
      </c>
      <c r="H75" t="str">
        <f>T("TN ")</f>
        <v>TN </v>
      </c>
      <c r="I75" s="1">
        <f>N(38505)</f>
        <v>38505</v>
      </c>
      <c r="J75" s="1">
        <f>N(9313723032)</f>
        <v>9313723032</v>
      </c>
      <c r="K75" s="1">
        <f>N(9313726257)</f>
        <v>9313726257</v>
      </c>
    </row>
    <row r="76" spans="1:11" ht="12.75">
      <c r="A76" s="1" t="s">
        <v>22</v>
      </c>
      <c r="B76" t="str">
        <f>T("NORTH CAROLINA CF &amp; WRU")</f>
        <v>NORTH CAROLINA CF &amp; WRU</v>
      </c>
      <c r="C76" t="str">
        <f>T("GARDNER HALL ZOOLOGY")</f>
        <v>GARDNER HALL ZOOLOGY</v>
      </c>
      <c r="D76" t="str">
        <f>T("BOX 7617 RM 4105")</f>
        <v>BOX 7617 RM 4105</v>
      </c>
      <c r="E76" t="s">
        <v>11</v>
      </c>
      <c r="F76" t="s">
        <v>11</v>
      </c>
      <c r="G76" t="str">
        <f>T("RALEIGH")</f>
        <v>RALEIGH</v>
      </c>
      <c r="H76" t="str">
        <f>T("NC ")</f>
        <v>NC </v>
      </c>
      <c r="I76" s="1">
        <f>N(27695)</f>
        <v>27695</v>
      </c>
      <c r="J76" s="1">
        <f>N(9195158837)</f>
        <v>9195158837</v>
      </c>
      <c r="K76" s="1">
        <f>N(9195154454)</f>
        <v>9195154454</v>
      </c>
    </row>
    <row r="77" spans="1:11" ht="12.75">
      <c r="A77" s="1" t="s">
        <v>22</v>
      </c>
      <c r="B77" t="str">
        <f>T("SOUTH CAROLINA CF &amp; WRU")</f>
        <v>SOUTH CAROLINA CF &amp; WRU</v>
      </c>
      <c r="C77" t="str">
        <f>T("CLEMSON UNIVERSITY A")</f>
        <v>CLEMSON UNIVERSITY A</v>
      </c>
      <c r="D77" t="str">
        <f>T("GO 8 LEHOTSKY HALL A")</f>
        <v>GO 8 LEHOTSKY HALL A</v>
      </c>
      <c r="E77" t="s">
        <v>11</v>
      </c>
      <c r="F77" t="s">
        <v>11</v>
      </c>
      <c r="G77" t="str">
        <f>T("CLEMSON")</f>
        <v>CLEMSON</v>
      </c>
      <c r="H77" t="str">
        <f>T("NC ")</f>
        <v>NC </v>
      </c>
      <c r="I77" s="1">
        <f>N(29643)</f>
        <v>29643</v>
      </c>
      <c r="J77" s="1">
        <f>N(8646565332)</f>
        <v>8646565332</v>
      </c>
      <c r="K77" s="1">
        <f>N(8646561034)</f>
        <v>8646561034</v>
      </c>
    </row>
    <row r="78" spans="1:11" ht="12.75">
      <c r="A78" s="1" t="s">
        <v>22</v>
      </c>
      <c r="B78" t="str">
        <f>T("MINNESOTA CF &amp; WRU")</f>
        <v>MINNESOTA CF &amp; WRU</v>
      </c>
      <c r="C78" t="str">
        <f>T("UNIV OF MINNESOTA 1980 FOLWELL AVE A")</f>
        <v>UNIV OF MINNESOTA 1980 FOLWELL AVE A</v>
      </c>
      <c r="D78" t="str">
        <f>T("200 HODSON HALL A")</f>
        <v>200 HODSON HALL A</v>
      </c>
      <c r="E78" t="s">
        <v>11</v>
      </c>
      <c r="F78" t="s">
        <v>11</v>
      </c>
      <c r="G78" t="str">
        <f>T("SAINT PAUL")</f>
        <v>SAINT PAUL</v>
      </c>
      <c r="H78" t="str">
        <f>T("MN ")</f>
        <v>MN </v>
      </c>
      <c r="I78" s="1">
        <f>N(55108)</f>
        <v>55108</v>
      </c>
      <c r="J78" s="1">
        <f>N(6126248748)</f>
        <v>6126248748</v>
      </c>
      <c r="K78" s="1">
        <f>N(6126255299)</f>
        <v>6126255299</v>
      </c>
    </row>
    <row r="79" spans="1:11" ht="12.75">
      <c r="A79" s="1" t="s">
        <v>22</v>
      </c>
      <c r="B79" t="str">
        <f>T("IOWA CF &amp; WRU")</f>
        <v>IOWA CF &amp; WRU</v>
      </c>
      <c r="C79" t="str">
        <f>T("IOWA STATE UNIVERSITY SCIENCE HALL II A")</f>
        <v>IOWA STATE UNIVERSITY SCIENCE HALL II A</v>
      </c>
      <c r="D79" t="s">
        <v>11</v>
      </c>
      <c r="E79" t="s">
        <v>11</v>
      </c>
      <c r="F79" t="s">
        <v>11</v>
      </c>
      <c r="G79" t="str">
        <f>T("AMES")</f>
        <v>AMES</v>
      </c>
      <c r="H79" t="str">
        <f>T("IA ")</f>
        <v>IA </v>
      </c>
      <c r="I79" s="1">
        <f>N(50011)</f>
        <v>50011</v>
      </c>
      <c r="J79" s="1">
        <f>N(5152943159)</f>
        <v>5152943159</v>
      </c>
      <c r="K79" s="1">
        <f>N(5152945468)</f>
        <v>5152945468</v>
      </c>
    </row>
    <row r="80" spans="1:11" ht="12.75">
      <c r="A80" s="1" t="s">
        <v>22</v>
      </c>
      <c r="B80" t="str">
        <f>T("MISSOURI CF &amp; WRU")</f>
        <v>MISSOURI CF &amp; WRU</v>
      </c>
      <c r="C80" t="str">
        <f>T("UNIV OF MO 112 STEPHENS HALL A")</f>
        <v>UNIV OF MO 112 STEPHENS HALL A</v>
      </c>
      <c r="D80" t="s">
        <v>11</v>
      </c>
      <c r="E80" t="s">
        <v>11</v>
      </c>
      <c r="F80" t="s">
        <v>11</v>
      </c>
      <c r="G80" t="str">
        <f>T("COLUMBIA")</f>
        <v>COLUMBIA</v>
      </c>
      <c r="H80" t="str">
        <f>T("MO ")</f>
        <v>MO </v>
      </c>
      <c r="I80" s="1">
        <f>N(65211)</f>
        <v>65211</v>
      </c>
      <c r="J80" s="1">
        <f>N(5738823524)</f>
        <v>5738823524</v>
      </c>
      <c r="K80" s="1">
        <f>N(5738845070)</f>
        <v>5738845070</v>
      </c>
    </row>
    <row r="81" spans="1:11" ht="12.75">
      <c r="A81" s="1" t="s">
        <v>22</v>
      </c>
      <c r="B81" t="str">
        <f>T("WISCONSIN CFRU")</f>
        <v>WISCONSIN CFRU</v>
      </c>
      <c r="C81" t="str">
        <f>T("COLLEGE OF NATURAL RESOURCES U OF W A")</f>
        <v>COLLEGE OF NATURAL RESOURCES U OF W A</v>
      </c>
      <c r="D81" t="s">
        <v>11</v>
      </c>
      <c r="E81" t="s">
        <v>11</v>
      </c>
      <c r="F81" t="s">
        <v>11</v>
      </c>
      <c r="G81" t="str">
        <f>T("STEVENS POINT")</f>
        <v>STEVENS POINT</v>
      </c>
      <c r="H81" t="str">
        <f>T("WI ")</f>
        <v>WI </v>
      </c>
      <c r="I81" s="1">
        <f>N(54481)</f>
        <v>54481</v>
      </c>
      <c r="J81" s="1">
        <f>N(7153462178)</f>
        <v>7153462178</v>
      </c>
      <c r="K81" s="1">
        <f>N(7153463624)</f>
        <v>7153463624</v>
      </c>
    </row>
    <row r="82" spans="1:11" ht="12.75">
      <c r="A82" s="1" t="s">
        <v>22</v>
      </c>
      <c r="B82" t="str">
        <f>T("WISCONSIN CWRU")</f>
        <v>WISCONSIN CWRU</v>
      </c>
      <c r="C82" t="str">
        <f>T("1630 LINDEN DR RM 226")</f>
        <v>1630 LINDEN DR RM 226</v>
      </c>
      <c r="D82" t="s">
        <v>11</v>
      </c>
      <c r="E82" t="s">
        <v>11</v>
      </c>
      <c r="F82" t="s">
        <v>11</v>
      </c>
      <c r="G82" t="str">
        <f>T("MADISON")</f>
        <v>MADISON</v>
      </c>
      <c r="H82" t="str">
        <f>T("WI ")</f>
        <v>WI </v>
      </c>
      <c r="I82" s="1">
        <f>N(53706)</f>
        <v>53706</v>
      </c>
      <c r="J82" s="1">
        <f>N(6082634519)</f>
        <v>6082634519</v>
      </c>
      <c r="K82" s="1">
        <f>N(6082636099)</f>
        <v>6082636099</v>
      </c>
    </row>
    <row r="83" spans="1:11" ht="12.75">
      <c r="A83" s="1" t="s">
        <v>22</v>
      </c>
      <c r="B83" t="str">
        <f>T("WEST VIRGINIA CF &amp; WRU")</f>
        <v>WEST VIRGINIA CF &amp; WRU</v>
      </c>
      <c r="C83" t="str">
        <f>T("322 PERCIVAL HALL")</f>
        <v>322 PERCIVAL HALL</v>
      </c>
      <c r="D83" t="s">
        <v>11</v>
      </c>
      <c r="E83" t="s">
        <v>11</v>
      </c>
      <c r="F83" t="s">
        <v>11</v>
      </c>
      <c r="G83" t="str">
        <f>T("MORGANTOWN")</f>
        <v>MORGANTOWN</v>
      </c>
      <c r="H83" t="str">
        <f>T("WV ")</f>
        <v>WV </v>
      </c>
      <c r="I83" s="1">
        <f>N(26506)</f>
        <v>26506</v>
      </c>
      <c r="J83" s="1">
        <f>N(3042933794)</f>
        <v>3042933794</v>
      </c>
      <c r="K83" s="1">
        <f>N(3042932441)</f>
        <v>3042932441</v>
      </c>
    </row>
    <row r="84" spans="1:11" ht="12.75">
      <c r="A84" s="1" t="s">
        <v>22</v>
      </c>
      <c r="B84" t="str">
        <f>T("VIRGINIA CF &amp; WRU")</f>
        <v>VIRGINIA CF &amp; WRU</v>
      </c>
      <c r="C84" t="str">
        <f>T("VPI&amp;SU VACFWRU  CHEATHAM HALL  RM 106 A")</f>
        <v>VPI&amp;SU VACFWRU  CHEATHAM HALL  RM 106 A</v>
      </c>
      <c r="D84" t="s">
        <v>11</v>
      </c>
      <c r="E84" t="s">
        <v>11</v>
      </c>
      <c r="F84" t="s">
        <v>11</v>
      </c>
      <c r="G84" t="str">
        <f>T("BLACKSBURG")</f>
        <v>BLACKSBURG</v>
      </c>
      <c r="H84" t="str">
        <f>T("VA ")</f>
        <v>VA </v>
      </c>
      <c r="I84" s="1">
        <f>N(24061)</f>
        <v>24061</v>
      </c>
      <c r="J84" s="1">
        <f>N(5402314501)</f>
        <v>5402314501</v>
      </c>
      <c r="K84" s="1">
        <f>N(5402317580)</f>
        <v>5402317580</v>
      </c>
    </row>
    <row r="85" spans="1:11" ht="12.75">
      <c r="A85" s="1" t="s">
        <v>22</v>
      </c>
      <c r="B85" t="str">
        <f>T("PENNSYLVANIA CF &amp; WRU")</f>
        <v>PENNSYLVANIA CF &amp; WRU</v>
      </c>
      <c r="C85" t="str">
        <f>T("113 MERKLE BUILDING A")</f>
        <v>113 MERKLE BUILDING A</v>
      </c>
      <c r="D85" t="str">
        <f>T("PENNSYLVANIA STATE UNIV A")</f>
        <v>PENNSYLVANIA STATE UNIV A</v>
      </c>
      <c r="E85" t="s">
        <v>11</v>
      </c>
      <c r="F85" t="s">
        <v>11</v>
      </c>
      <c r="G85" t="str">
        <f>T("UNIVERSITY PARK A")</f>
        <v>UNIVERSITY PARK A</v>
      </c>
      <c r="H85" t="str">
        <f>T("PA ")</f>
        <v>PA </v>
      </c>
      <c r="I85" s="1">
        <f>N(16802)</f>
        <v>16802</v>
      </c>
      <c r="J85" s="1">
        <f>N(8148654511)</f>
        <v>8148654511</v>
      </c>
      <c r="K85" s="1">
        <f>N(8148654710)</f>
        <v>8148654710</v>
      </c>
    </row>
    <row r="86" spans="1:11" ht="12.75">
      <c r="A86" s="1" t="s">
        <v>22</v>
      </c>
      <c r="B86" t="str">
        <f>T("NEW YORK CF &amp; WRU")</f>
        <v>NEW YORK CF &amp; WRU</v>
      </c>
      <c r="C86" t="str">
        <f>T("206 FERNOW HALL")</f>
        <v>206 FERNOW HALL</v>
      </c>
      <c r="D86" t="str">
        <f>T("CORNELL UN")</f>
        <v>CORNELL UN</v>
      </c>
      <c r="E86" t="s">
        <v>11</v>
      </c>
      <c r="F86" t="s">
        <v>11</v>
      </c>
      <c r="G86" t="str">
        <f>T("ITHACA")</f>
        <v>ITHACA</v>
      </c>
      <c r="H86" t="str">
        <f>T("NY ")</f>
        <v>NY </v>
      </c>
      <c r="I86" s="1">
        <f>N(14853)</f>
        <v>14853</v>
      </c>
      <c r="J86" s="1">
        <f>N(6072552152)</f>
        <v>6072552152</v>
      </c>
      <c r="K86" s="1">
        <f>N(6072551895)</f>
        <v>6072551895</v>
      </c>
    </row>
    <row r="87" spans="1:11" ht="12.75">
      <c r="A87" s="1" t="s">
        <v>22</v>
      </c>
      <c r="B87" t="str">
        <f>T("VERMONT CF &amp; WRU")</f>
        <v>VERMONT CF &amp; WRU</v>
      </c>
      <c r="C87" t="str">
        <f>T("VERMONT COOP F&amp;W RES UNIT")</f>
        <v>VERMONT COOP F&amp;W RES UNIT</v>
      </c>
      <c r="D87" t="str">
        <f>T("VERMONT COOP F&amp;W RES UNIT")</f>
        <v>VERMONT COOP F&amp;W RES UNIT</v>
      </c>
      <c r="E87" t="s">
        <v>11</v>
      </c>
      <c r="F87" t="s">
        <v>11</v>
      </c>
      <c r="G87" t="str">
        <f>T("BURLINGTON")</f>
        <v>BURLINGTON</v>
      </c>
      <c r="H87" t="str">
        <f>T("VA ")</f>
        <v>VA </v>
      </c>
      <c r="I87" s="2" t="s">
        <v>12</v>
      </c>
      <c r="J87" s="1">
        <f>N(8026562693)</f>
        <v>8026562693</v>
      </c>
      <c r="K87" s="1">
        <f>N(8026568683)</f>
        <v>8026568683</v>
      </c>
    </row>
    <row r="88" spans="1:11" ht="12.75">
      <c r="A88" s="1" t="s">
        <v>22</v>
      </c>
      <c r="B88" t="str">
        <f>T("MASSACHUSSETTS CF &amp; WRU")</f>
        <v>MASSACHUSSETTS CF &amp; WRU</v>
      </c>
      <c r="C88" t="str">
        <f>T("UNIV OF MA BOX 34220 A")</f>
        <v>UNIV OF MA BOX 34220 A</v>
      </c>
      <c r="D88" t="s">
        <v>11</v>
      </c>
      <c r="E88" t="s">
        <v>11</v>
      </c>
      <c r="F88" t="s">
        <v>11</v>
      </c>
      <c r="G88" t="str">
        <f>T("AMHERST")</f>
        <v>AMHERST</v>
      </c>
      <c r="H88" t="str">
        <f>T("MA ")</f>
        <v>MA </v>
      </c>
      <c r="I88" s="1">
        <f>N(41354)</f>
        <v>41354</v>
      </c>
      <c r="J88" s="1">
        <f>N(4135454888)</f>
        <v>4135454888</v>
      </c>
      <c r="K88" s="1">
        <f>N(4135454358)</f>
        <v>4135454358</v>
      </c>
    </row>
    <row r="89" spans="1:11" ht="12.75">
      <c r="A89" s="1" t="s">
        <v>22</v>
      </c>
      <c r="B89" t="str">
        <f>T("MAINE CF &amp; WRU")</f>
        <v>MAINE CF &amp; WRU</v>
      </c>
      <c r="C89" t="str">
        <f>T("UNIV OF ME 5755 NUTTING HALL RM 206 A")</f>
        <v>UNIV OF ME 5755 NUTTING HALL RM 206 A</v>
      </c>
      <c r="D89" t="s">
        <v>11</v>
      </c>
      <c r="E89" t="s">
        <v>11</v>
      </c>
      <c r="F89" t="s">
        <v>11</v>
      </c>
      <c r="G89" t="str">
        <f>T("ORONO A")</f>
        <v>ORONO A</v>
      </c>
      <c r="H89" t="str">
        <f>T("ME ")</f>
        <v>ME </v>
      </c>
      <c r="I89" s="1" t="str">
        <f>T("04469A")</f>
        <v>04469A</v>
      </c>
      <c r="J89" s="1">
        <f>N(2075812870)</f>
        <v>2075812870</v>
      </c>
      <c r="K89" s="1">
        <f>N(2075812858)</f>
        <v>2075812858</v>
      </c>
    </row>
    <row r="90" spans="1:11" ht="12.75">
      <c r="A90" s="1" t="s">
        <v>22</v>
      </c>
      <c r="B90" t="str">
        <f>T("OKLAHOMA CF &amp; WRU")</f>
        <v>OKLAHOMA CF &amp; WRU</v>
      </c>
      <c r="C90" t="str">
        <f>T("404 LIFE SCIENCES WEST")</f>
        <v>404 LIFE SCIENCES WEST</v>
      </c>
      <c r="D90" t="s">
        <v>11</v>
      </c>
      <c r="E90" t="s">
        <v>11</v>
      </c>
      <c r="F90" t="s">
        <v>11</v>
      </c>
      <c r="G90" t="str">
        <f>T("STILLWATER")</f>
        <v>STILLWATER</v>
      </c>
      <c r="H90" t="str">
        <f>T("OK ")</f>
        <v>OK </v>
      </c>
      <c r="I90" s="1">
        <f>N(74078)</f>
        <v>74078</v>
      </c>
      <c r="J90" s="1">
        <f>N(4057446342)</f>
        <v>4057446342</v>
      </c>
      <c r="K90" s="1">
        <f>N(4057445006)</f>
        <v>4057445006</v>
      </c>
    </row>
    <row r="91" spans="1:11" ht="12.75">
      <c r="A91" s="1" t="s">
        <v>22</v>
      </c>
      <c r="B91" t="str">
        <f>T("MONTANA CWRU")</f>
        <v>MONTANA CWRU</v>
      </c>
      <c r="C91" t="str">
        <f>T("MONTANA COOP WILDLIFE RESCH UNIT")</f>
        <v>MONTANA COOP WILDLIFE RESCH UNIT</v>
      </c>
      <c r="D91" t="str">
        <f>T("UNIVERSITY OF MONTANA")</f>
        <v>UNIVERSITY OF MONTANA</v>
      </c>
      <c r="E91" t="s">
        <v>11</v>
      </c>
      <c r="F91" t="s">
        <v>11</v>
      </c>
      <c r="G91" t="str">
        <f>T("MISSOULA")</f>
        <v>MISSOULA</v>
      </c>
      <c r="H91" t="str">
        <f>T("MT ")</f>
        <v>MT </v>
      </c>
      <c r="I91" s="1">
        <f>N(59812)</f>
        <v>59812</v>
      </c>
      <c r="J91" s="1">
        <f>N(4062435372)</f>
        <v>4062435372</v>
      </c>
      <c r="K91" s="1">
        <f>N(4062436064)</f>
        <v>4062436064</v>
      </c>
    </row>
    <row r="92" spans="1:11" ht="12.75">
      <c r="A92" s="1" t="s">
        <v>22</v>
      </c>
      <c r="B92" t="str">
        <f>T("MONTANA CFRU")</f>
        <v>MONTANA CFRU</v>
      </c>
      <c r="C92" t="str">
        <f>T("MONTANA STATE UNIV")</f>
        <v>MONTANA STATE UNIV</v>
      </c>
      <c r="D92" t="str">
        <f>T("BOX 173460")</f>
        <v>BOX 173460</v>
      </c>
      <c r="E92" t="s">
        <v>11</v>
      </c>
      <c r="F92" t="s">
        <v>11</v>
      </c>
      <c r="G92" t="str">
        <f>T("BOZEMAN")</f>
        <v>BOZEMAN</v>
      </c>
      <c r="H92" t="str">
        <f>T("MT ")</f>
        <v>MT </v>
      </c>
      <c r="I92" s="1">
        <f>N(59717)</f>
        <v>59717</v>
      </c>
      <c r="J92" s="1">
        <f>N(4069942380)</f>
        <v>4069942380</v>
      </c>
      <c r="K92" s="1">
        <f>N(4069947479)</f>
        <v>4069947479</v>
      </c>
    </row>
    <row r="93" spans="1:11" ht="12.75">
      <c r="A93" s="1" t="s">
        <v>22</v>
      </c>
      <c r="B93" t="str">
        <f>T("WYOMING CF &amp; WRU")</f>
        <v>WYOMING CF &amp; WRU</v>
      </c>
      <c r="C93" t="str">
        <f>T("UNIV OF WY SCIENCE BLDG A")</f>
        <v>UNIV OF WY SCIENCE BLDG A</v>
      </c>
      <c r="D93" t="str">
        <f>T("RM 419 BOX 3166 A")</f>
        <v>RM 419 BOX 3166 A</v>
      </c>
      <c r="E93" t="s">
        <v>11</v>
      </c>
      <c r="F93" t="s">
        <v>11</v>
      </c>
      <c r="G93" t="str">
        <f>T("LARAMIE A")</f>
        <v>LARAMIE A</v>
      </c>
      <c r="H93" t="str">
        <f>T("WY ")</f>
        <v>WY </v>
      </c>
      <c r="I93" s="1">
        <f>N(82071)</f>
        <v>82071</v>
      </c>
      <c r="J93" s="1">
        <f>N(3077665415)</f>
        <v>3077665415</v>
      </c>
      <c r="K93" s="1">
        <f>N(3077665400)</f>
        <v>3077665400</v>
      </c>
    </row>
    <row r="94" spans="1:11" ht="12.75">
      <c r="A94" s="1" t="s">
        <v>22</v>
      </c>
      <c r="B94" t="str">
        <f>T("COLORADO CF &amp; WRU")</f>
        <v>COLORADO CF &amp; WRU</v>
      </c>
      <c r="C94" t="str">
        <f>T("CO STATE UNIV 201 JVK WAGAR BUILDING A")</f>
        <v>CO STATE UNIV 201 JVK WAGAR BUILDING A</v>
      </c>
      <c r="D94" t="s">
        <v>11</v>
      </c>
      <c r="E94" t="s">
        <v>11</v>
      </c>
      <c r="F94" t="s">
        <v>11</v>
      </c>
      <c r="G94" t="str">
        <f>T("FORT COLLINS")</f>
        <v>FORT COLLINS</v>
      </c>
      <c r="H94" t="str">
        <f>T("CO ")</f>
        <v>CO </v>
      </c>
      <c r="I94" s="1">
        <f>N(80523)</f>
        <v>80523</v>
      </c>
      <c r="J94" s="1">
        <f>N(9704911415)</f>
        <v>9704911415</v>
      </c>
      <c r="K94" s="1">
        <f>N(9704911413)</f>
        <v>9704911413</v>
      </c>
    </row>
    <row r="95" spans="1:11" ht="12.75">
      <c r="A95" s="1" t="s">
        <v>22</v>
      </c>
      <c r="B95" t="str">
        <f>T("UTAH CF &amp; WRU")</f>
        <v>UTAH CF &amp; WRU</v>
      </c>
      <c r="C95" t="str">
        <f>T("5210 UNIVERSITY HILL   UCFWRU")</f>
        <v>5210 UNIVERSITY HILL   UCFWRU</v>
      </c>
      <c r="D95" t="str">
        <f>T("UTAH STATE UNIVERSITY")</f>
        <v>UTAH STATE UNIVERSITY</v>
      </c>
      <c r="E95" t="s">
        <v>11</v>
      </c>
      <c r="F95" t="s">
        <v>11</v>
      </c>
      <c r="G95" t="str">
        <f>T("LOGAN")</f>
        <v>LOGAN</v>
      </c>
      <c r="H95" t="str">
        <f>T("UT ")</f>
        <v>UT </v>
      </c>
      <c r="I95" s="1">
        <f>N(84322)</f>
        <v>84322</v>
      </c>
      <c r="J95" s="1">
        <f>N(4357972511)</f>
        <v>4357972511</v>
      </c>
      <c r="K95" s="1">
        <f>N(4357974025)</f>
        <v>4357974025</v>
      </c>
    </row>
    <row r="96" spans="1:11" ht="12.75">
      <c r="A96" s="1" t="s">
        <v>22</v>
      </c>
      <c r="B96" t="str">
        <f>T("ARIZONA CF &amp; WRU")</f>
        <v>ARIZONA CF &amp; WRU</v>
      </c>
      <c r="C96" t="str">
        <f>T("104 BIOLOGICAL SCIENCES EAST")</f>
        <v>104 BIOLOGICAL SCIENCES EAST</v>
      </c>
      <c r="D96" t="str">
        <f>T("ARIZONA CFWRU")</f>
        <v>ARIZONA CFWRU</v>
      </c>
      <c r="E96" t="s">
        <v>11</v>
      </c>
      <c r="F96" t="s">
        <v>11</v>
      </c>
      <c r="G96" t="str">
        <f>T("TUCSON")</f>
        <v>TUCSON</v>
      </c>
      <c r="H96" t="str">
        <f>T("AZ ")</f>
        <v>AZ </v>
      </c>
      <c r="I96" s="1">
        <f>N(85721)</f>
        <v>85721</v>
      </c>
      <c r="J96" s="1">
        <f>N(5206218535)</f>
        <v>5206218535</v>
      </c>
      <c r="K96" s="1">
        <f>N(5206218801)</f>
        <v>5206218801</v>
      </c>
    </row>
    <row r="97" spans="1:11" ht="12.75">
      <c r="A97" s="1" t="s">
        <v>22</v>
      </c>
      <c r="B97" t="str">
        <f>T("NEW MEXICO CF &amp; WRU")</f>
        <v>NEW MEXICO CF &amp; WRU</v>
      </c>
      <c r="C97" t="str">
        <f>T("BOX 30003 DEPT 4901")</f>
        <v>BOX 30003 DEPT 4901</v>
      </c>
      <c r="D97" t="s">
        <v>11</v>
      </c>
      <c r="E97" t="s">
        <v>11</v>
      </c>
      <c r="F97" t="s">
        <v>11</v>
      </c>
      <c r="G97" t="str">
        <f>T("LAS CRUCES")</f>
        <v>LAS CRUCES</v>
      </c>
      <c r="H97" t="str">
        <f>T("NM ")</f>
        <v>NM </v>
      </c>
      <c r="I97" s="1">
        <f>N(88003)</f>
        <v>88003</v>
      </c>
      <c r="J97" s="1">
        <f>N(5056468126)</f>
        <v>5056468126</v>
      </c>
      <c r="K97" s="1">
        <f>N(5056461281)</f>
        <v>5056461281</v>
      </c>
    </row>
    <row r="98" spans="1:11" ht="12.75">
      <c r="A98" s="1" t="s">
        <v>22</v>
      </c>
      <c r="B98" t="str">
        <f>T("SOUTH DAKOTA CF &amp; WRU")</f>
        <v>SOUTH DAKOTA CF &amp; WRU</v>
      </c>
      <c r="C98" t="str">
        <f>T("PO BOX 2140B SOUTH DAKOTA ST UNVRSTY")</f>
        <v>PO BOX 2140B SOUTH DAKOTA ST UNVRSTY</v>
      </c>
      <c r="D98" t="s">
        <v>11</v>
      </c>
      <c r="E98" t="s">
        <v>11</v>
      </c>
      <c r="F98" t="s">
        <v>11</v>
      </c>
      <c r="G98" t="str">
        <f>T("BROOKINGS")</f>
        <v>BROOKINGS</v>
      </c>
      <c r="H98" t="str">
        <f>T("SD ")</f>
        <v>SD </v>
      </c>
      <c r="I98" s="1">
        <f>N(57007)</f>
        <v>57007</v>
      </c>
      <c r="J98" s="1">
        <f>N(6056886121)</f>
        <v>6056886121</v>
      </c>
      <c r="K98" s="1">
        <f>N(6056884515)</f>
        <v>6056884515</v>
      </c>
    </row>
    <row r="99" spans="1:11" ht="12.75">
      <c r="A99" s="1" t="s">
        <v>22</v>
      </c>
      <c r="B99" t="str">
        <f>T("KANSAS CF &amp; WRU")</f>
        <v>KANSAS CF &amp; WRU</v>
      </c>
      <c r="C99" t="str">
        <f>T("205 LEASURE HALL")</f>
        <v>205 LEASURE HALL</v>
      </c>
      <c r="D99" t="str">
        <f>T("KANSAS STATE UNIVERSITY")</f>
        <v>KANSAS STATE UNIVERSITY</v>
      </c>
      <c r="E99" t="s">
        <v>11</v>
      </c>
      <c r="F99" t="s">
        <v>11</v>
      </c>
      <c r="G99" t="str">
        <f>T("MANHATTEN")</f>
        <v>MANHATTEN</v>
      </c>
      <c r="H99" t="str">
        <f>T("KS ")</f>
        <v>KS </v>
      </c>
      <c r="I99" s="1">
        <f>N(66506)</f>
        <v>66506</v>
      </c>
      <c r="J99" s="1">
        <f>N(7855326634)</f>
        <v>7855326634</v>
      </c>
      <c r="K99" s="1">
        <f>N(7855327159)</f>
        <v>7855327159</v>
      </c>
    </row>
    <row r="100" spans="1:11" ht="12.75">
      <c r="A100" s="1" t="s">
        <v>22</v>
      </c>
      <c r="B100" t="str">
        <f>T("TEXAS CF &amp; WRU")</f>
        <v>TEXAS CF &amp; WRU</v>
      </c>
      <c r="C100" t="str">
        <f>T("BOX 42120 TEXAS COOP UNIT")</f>
        <v>BOX 42120 TEXAS COOP UNIT</v>
      </c>
      <c r="D100" t="s">
        <v>11</v>
      </c>
      <c r="E100" t="s">
        <v>11</v>
      </c>
      <c r="F100" t="s">
        <v>11</v>
      </c>
      <c r="G100" t="str">
        <f>T("LUBBOCK")</f>
        <v>LUBBOCK</v>
      </c>
      <c r="H100" t="str">
        <f>T("TX ")</f>
        <v>TX </v>
      </c>
      <c r="I100" s="1">
        <f>N(79409)</f>
        <v>79409</v>
      </c>
      <c r="J100" s="1">
        <f>N(8067422851)</f>
        <v>8067422851</v>
      </c>
      <c r="K100" s="1">
        <f>N(8047422946)</f>
        <v>8047422946</v>
      </c>
    </row>
    <row r="101" spans="1:11" ht="12.75">
      <c r="A101" s="1" t="s">
        <v>22</v>
      </c>
      <c r="B101" t="str">
        <f>T("ARKANSAS CF RU")</f>
        <v>ARKANSAS CF RU</v>
      </c>
      <c r="C101" t="str">
        <f>T("USGS   BIOLOGICAL SCIENCES  SCEN 617 ")</f>
        <v>USGS   BIOLOGICAL SCIENCES  SCEN 617 </v>
      </c>
      <c r="D101" t="str">
        <f>T("UNIVERSITY OF ARKANSAS")</f>
        <v>UNIVERSITY OF ARKANSAS</v>
      </c>
      <c r="E101" t="s">
        <v>11</v>
      </c>
      <c r="F101" t="s">
        <v>11</v>
      </c>
      <c r="G101" t="str">
        <f>T("FAYETTEVILLE")</f>
        <v>FAYETTEVILLE</v>
      </c>
      <c r="H101" t="str">
        <f>T("AR ")</f>
        <v>AR </v>
      </c>
      <c r="I101" s="1">
        <f>N(72701)</f>
        <v>72701</v>
      </c>
      <c r="J101" s="1">
        <f>N(5015757560)</f>
        <v>5015757560</v>
      </c>
      <c r="K101" s="1">
        <f>N(5015753330)</f>
        <v>5015753330</v>
      </c>
    </row>
    <row r="102" spans="1:11" ht="12.75">
      <c r="A102" s="1" t="s">
        <v>22</v>
      </c>
      <c r="B102" t="str">
        <f>T("CALIFORNIA CFRU")</f>
        <v>CALIFORNIA CFRU</v>
      </c>
      <c r="C102" t="str">
        <f>T("CA COOP FISHERY UNIT")</f>
        <v>CA COOP FISHERY UNIT</v>
      </c>
      <c r="D102" t="str">
        <f>T("HUMBOLDT ST UNIV")</f>
        <v>HUMBOLDT ST UNIV</v>
      </c>
      <c r="E102" t="s">
        <v>11</v>
      </c>
      <c r="F102" t="s">
        <v>11</v>
      </c>
      <c r="G102" t="str">
        <f>T("ARCATA")</f>
        <v>ARCATA</v>
      </c>
      <c r="H102" t="str">
        <f>T("CA ")</f>
        <v>CA </v>
      </c>
      <c r="I102" s="1">
        <f>N(95521)</f>
        <v>95521</v>
      </c>
      <c r="J102" s="1">
        <f>N(7078265644)</f>
        <v>7078265644</v>
      </c>
      <c r="K102" s="1">
        <f>N(7078263269)</f>
        <v>7078263269</v>
      </c>
    </row>
    <row r="103" spans="1:11" ht="12.75">
      <c r="A103" s="1" t="s">
        <v>22</v>
      </c>
      <c r="B103" t="str">
        <f>T("HAWAII CFRU")</f>
        <v>HAWAII CFRU</v>
      </c>
      <c r="C103" t="str">
        <f>T("HAWAII COOPERATIVE FISHERY UNIT")</f>
        <v>HAWAII COOPERATIVE FISHERY UNIT</v>
      </c>
      <c r="D103" t="str">
        <f>T("2538 THE MALL  UNIVERSITY OF HAWAII ")</f>
        <v>2538 THE MALL  UNIVERSITY OF HAWAII </v>
      </c>
      <c r="E103" t="s">
        <v>11</v>
      </c>
      <c r="F103" t="s">
        <v>11</v>
      </c>
      <c r="G103" t="str">
        <f>T("HONOLULU")</f>
        <v>HONOLULU</v>
      </c>
      <c r="H103" t="str">
        <f>T("HI ")</f>
        <v>HI </v>
      </c>
      <c r="I103" s="1">
        <f>N(96822)</f>
        <v>96822</v>
      </c>
      <c r="J103" s="1">
        <f>N(8089568350)</f>
        <v>8089568350</v>
      </c>
      <c r="K103" s="1">
        <f>N(8089569812)</f>
        <v>8089569812</v>
      </c>
    </row>
    <row r="104" spans="1:11" ht="12.75">
      <c r="A104" s="1" t="s">
        <v>22</v>
      </c>
      <c r="B104" t="str">
        <f>T("ALASKA CF &amp; WRU")</f>
        <v>ALASKA CF &amp; WRU</v>
      </c>
      <c r="C104" t="str">
        <f>T("PO BOX 757020 UAF")</f>
        <v>PO BOX 757020 UAF</v>
      </c>
      <c r="D104" t="s">
        <v>11</v>
      </c>
      <c r="E104" t="s">
        <v>11</v>
      </c>
      <c r="F104" t="s">
        <v>11</v>
      </c>
      <c r="G104" t="str">
        <f>T("FAIRBANKS")</f>
        <v>FAIRBANKS</v>
      </c>
      <c r="H104" t="str">
        <f>T("AK ")</f>
        <v>AK </v>
      </c>
      <c r="I104" s="1">
        <f>N(99775)</f>
        <v>99775</v>
      </c>
      <c r="J104" s="1">
        <f>N(9074745505)</f>
        <v>9074745505</v>
      </c>
      <c r="K104" s="1">
        <f>N(9074746716)</f>
        <v>9074746716</v>
      </c>
    </row>
    <row r="105" spans="1:11" ht="12.75">
      <c r="A105" s="1" t="s">
        <v>22</v>
      </c>
      <c r="B105" t="str">
        <f>T("WASHINGTON CF &amp; WRU")</f>
        <v>WASHINGTON CF &amp; WRU</v>
      </c>
      <c r="C105" t="str">
        <f>T("FISHERY SCIENCES BLDG  BOX 355020 ")</f>
        <v>FISHERY SCIENCES BLDG  BOX 355020 </v>
      </c>
      <c r="D105" t="str">
        <f>T("WASHINGTON CFWRU  UNIVERSITY OF WASHING")</f>
        <v>WASHINGTON CFWRU  UNIVERSITY OF WASHING</v>
      </c>
      <c r="E105" t="s">
        <v>11</v>
      </c>
      <c r="F105" t="s">
        <v>11</v>
      </c>
      <c r="G105" t="str">
        <f>T("SEATTLE")</f>
        <v>SEATTLE</v>
      </c>
      <c r="H105" t="str">
        <f>T("WA ")</f>
        <v>WA </v>
      </c>
      <c r="I105" s="1">
        <f>N(98195)</f>
        <v>98195</v>
      </c>
      <c r="J105" s="1">
        <f>N(2065436475)</f>
        <v>2065436475</v>
      </c>
      <c r="K105" s="1">
        <f>N(2065437471)</f>
        <v>2065437471</v>
      </c>
    </row>
    <row r="106" spans="1:11" ht="12.75">
      <c r="A106" s="1" t="s">
        <v>22</v>
      </c>
      <c r="B106" t="str">
        <f>T("OREGON CFRU")</f>
        <v>OREGON CFRU</v>
      </c>
      <c r="C106" t="str">
        <f>T("OREGON STATE UNIV104 NASH HALL A")</f>
        <v>OREGON STATE UNIV104 NASH HALL A</v>
      </c>
      <c r="D106" t="str">
        <f>T("104 NASH HALL")</f>
        <v>104 NASH HALL</v>
      </c>
      <c r="E106" t="s">
        <v>11</v>
      </c>
      <c r="F106" t="s">
        <v>11</v>
      </c>
      <c r="G106" t="str">
        <f>T("CORVALLIS")</f>
        <v>CORVALLIS</v>
      </c>
      <c r="H106" t="str">
        <f>T("OR ")</f>
        <v>OR </v>
      </c>
      <c r="I106" s="1">
        <f>N(97331)</f>
        <v>97331</v>
      </c>
      <c r="J106" s="1">
        <f>N(5417371961)</f>
        <v>5417371961</v>
      </c>
      <c r="K106" s="1">
        <f>N(5417373590)</f>
        <v>5417373590</v>
      </c>
    </row>
    <row r="107" spans="1:11" ht="12.75">
      <c r="A107" s="1" t="s">
        <v>22</v>
      </c>
      <c r="B107" t="str">
        <f>T("OREGON CWRU")</f>
        <v>OREGON CWRU</v>
      </c>
      <c r="C107" t="str">
        <f>T("OR COOP F&amp;W RES UNIT")</f>
        <v>OR COOP F&amp;W RES UNIT</v>
      </c>
      <c r="D107" t="str">
        <f>T("104 NASH HALL")</f>
        <v>104 NASH HALL</v>
      </c>
      <c r="E107" t="s">
        <v>11</v>
      </c>
      <c r="F107" t="s">
        <v>11</v>
      </c>
      <c r="G107" t="str">
        <f>T("CORVALLIS")</f>
        <v>CORVALLIS</v>
      </c>
      <c r="H107" t="str">
        <f>T("OR ")</f>
        <v>OR </v>
      </c>
      <c r="I107" s="1">
        <f>N(97331)</f>
        <v>97331</v>
      </c>
      <c r="J107" s="1">
        <f>N(5417371954)</f>
        <v>5417371954</v>
      </c>
      <c r="K107" s="1">
        <f>N(5417373590)</f>
        <v>5417373590</v>
      </c>
    </row>
    <row r="108" spans="1:11" ht="12.75">
      <c r="A108" s="1" t="s">
        <v>22</v>
      </c>
      <c r="B108" t="str">
        <f>T("IDAHO CF &amp; WRU")</f>
        <v>IDAHO CF &amp; WRU</v>
      </c>
      <c r="C108" t="str">
        <f>T("CLLGE OF WLDLF RNG UNIVERSITY OF IDAHO A")</f>
        <v>CLLGE OF WLDLF RNG UNIVERSITY OF IDAHO A</v>
      </c>
      <c r="D108" t="s">
        <v>11</v>
      </c>
      <c r="E108" t="s">
        <v>11</v>
      </c>
      <c r="F108" t="s">
        <v>11</v>
      </c>
      <c r="G108" t="str">
        <f>T("MOSCOW")</f>
        <v>MOSCOW</v>
      </c>
      <c r="H108" t="str">
        <f>T("ID ")</f>
        <v>ID </v>
      </c>
      <c r="I108" s="1">
        <f>N(83844)</f>
        <v>83844</v>
      </c>
      <c r="J108" s="1">
        <f>N(2088857521)</f>
        <v>2088857521</v>
      </c>
      <c r="K108" s="1">
        <f>N(2088859080)</f>
        <v>2088859080</v>
      </c>
    </row>
    <row r="109" spans="1:11" ht="12.75">
      <c r="A109" s="1" t="s">
        <v>22</v>
      </c>
      <c r="B109" t="str">
        <f>T("AD-WATER RESOURCES")</f>
        <v>AD-WATER RESOURCES</v>
      </c>
      <c r="C109" t="str">
        <f>T("441 NATIONAL CENTER")</f>
        <v>441 NATIONAL CENTER</v>
      </c>
      <c r="D109" t="s">
        <v>11</v>
      </c>
      <c r="E109" t="s">
        <v>11</v>
      </c>
      <c r="F109" t="s">
        <v>11</v>
      </c>
      <c r="G109" t="str">
        <f>T("RESTON")</f>
        <v>RESTON</v>
      </c>
      <c r="H109" t="str">
        <f>T("VA ")</f>
        <v>VA </v>
      </c>
      <c r="I109" s="1">
        <f>N(20192)</f>
        <v>20192</v>
      </c>
      <c r="J109" s="1">
        <f>N(7036485032)</f>
        <v>7036485032</v>
      </c>
      <c r="K109" s="1">
        <f>N(7036485002)</f>
        <v>7036485002</v>
      </c>
    </row>
    <row r="110" spans="1:11" ht="12.75">
      <c r="A110" s="1" t="s">
        <v>22</v>
      </c>
      <c r="B110" t="str">
        <f>T("ASSOC CHIEF INFORMATION")</f>
        <v>ASSOC CHIEF INFORMATION</v>
      </c>
      <c r="C110" t="str">
        <f>T("420 NATIONAL CENTER")</f>
        <v>420 NATIONAL CENTER</v>
      </c>
      <c r="D110" t="s">
        <v>11</v>
      </c>
      <c r="E110" t="s">
        <v>11</v>
      </c>
      <c r="F110" t="s">
        <v>11</v>
      </c>
      <c r="G110" t="str">
        <f>T("RESTON")</f>
        <v>RESTON</v>
      </c>
      <c r="H110" t="str">
        <f>T("VA ")</f>
        <v>VA </v>
      </c>
      <c r="I110" s="1">
        <f>N(20192)</f>
        <v>20192</v>
      </c>
      <c r="J110" s="1">
        <f>N(7036485021)</f>
        <v>7036485021</v>
      </c>
      <c r="K110" s="1">
        <f>N(7036486687)</f>
        <v>7036486687</v>
      </c>
    </row>
    <row r="111" spans="1:11" ht="12.75">
      <c r="A111" s="1" t="s">
        <v>22</v>
      </c>
      <c r="B111" t="str">
        <f>T("INTERNATIONAL HYDROLOGY")</f>
        <v>INTERNATIONAL HYDROLOGY</v>
      </c>
      <c r="C111" t="str">
        <f>T("420 NATIONAL CENTER")</f>
        <v>420 NATIONAL CENTER</v>
      </c>
      <c r="D111" t="s">
        <v>11</v>
      </c>
      <c r="E111" t="s">
        <v>11</v>
      </c>
      <c r="F111" t="s">
        <v>11</v>
      </c>
      <c r="G111" t="str">
        <f>T("RESTON")</f>
        <v>RESTON</v>
      </c>
      <c r="H111" t="str">
        <f>T("VA ")</f>
        <v>VA </v>
      </c>
      <c r="I111" s="1">
        <f>N(20192)</f>
        <v>20192</v>
      </c>
      <c r="J111" s="1">
        <f>N(7036485053)</f>
        <v>7036485053</v>
      </c>
      <c r="K111" s="1">
        <f>N(7036486687)</f>
        <v>7036486687</v>
      </c>
    </row>
    <row r="112" spans="1:11" ht="12.75">
      <c r="A112" s="1" t="s">
        <v>22</v>
      </c>
      <c r="B112" t="str">
        <f>T("CARTOGRPHIC &amp; PUB PROG CAPP-ER")</f>
        <v>CARTOGRPHIC &amp; PUB PROG CAPP-ER</v>
      </c>
      <c r="C112" t="str">
        <f>T("505 SCIENCE DR")</f>
        <v>505 SCIENCE DR</v>
      </c>
      <c r="D112" t="s">
        <v>11</v>
      </c>
      <c r="E112" t="s">
        <v>11</v>
      </c>
      <c r="F112" t="s">
        <v>11</v>
      </c>
      <c r="G112" t="str">
        <f>T("MADISON")</f>
        <v>MADISON</v>
      </c>
      <c r="H112" t="str">
        <f>T("WI ")</f>
        <v>WI </v>
      </c>
      <c r="I112" s="1">
        <f>N(53711)</f>
        <v>53711</v>
      </c>
      <c r="J112" s="1">
        <f>N(6082389333)</f>
        <v>6082389333</v>
      </c>
      <c r="K112" s="1">
        <f>N(6082389334)</f>
        <v>6082389334</v>
      </c>
    </row>
    <row r="113" spans="1:11" ht="12.75">
      <c r="A113" s="1" t="s">
        <v>22</v>
      </c>
      <c r="B113" t="str">
        <f>T("HYDROLOGIC RESEARCH")</f>
        <v>HYDROLOGIC RESEARCH</v>
      </c>
      <c r="C113" t="str">
        <f>T("436 NATIONAL CENTER")</f>
        <v>436 NATIONAL CENTER</v>
      </c>
      <c r="D113" t="s">
        <v>11</v>
      </c>
      <c r="E113" t="s">
        <v>11</v>
      </c>
      <c r="F113" t="s">
        <v>11</v>
      </c>
      <c r="G113" t="str">
        <f>T("RESTON")</f>
        <v>RESTON</v>
      </c>
      <c r="H113" t="str">
        <f>T("VA ")</f>
        <v>VA </v>
      </c>
      <c r="I113" s="1">
        <f>N(20192)</f>
        <v>20192</v>
      </c>
      <c r="J113" s="1">
        <f>N(7036485041)</f>
        <v>7036485041</v>
      </c>
      <c r="K113" s="1">
        <f>N(7036485002)</f>
        <v>7036485002</v>
      </c>
    </row>
    <row r="114" spans="1:11" ht="12.75">
      <c r="A114" s="1" t="s">
        <v>22</v>
      </c>
      <c r="B114" t="str">
        <f>T("OFFICE OF SURFACE WATER")</f>
        <v>OFFICE OF SURFACE WATER</v>
      </c>
      <c r="C114" t="str">
        <f>T("3909 HALLS FERRY RD")</f>
        <v>3909 HALLS FERRY RD</v>
      </c>
      <c r="D114" t="s">
        <v>11</v>
      </c>
      <c r="E114" t="s">
        <v>11</v>
      </c>
      <c r="F114" t="s">
        <v>11</v>
      </c>
      <c r="G114" t="str">
        <f>T("VICKSBURG")</f>
        <v>VICKSBURG</v>
      </c>
      <c r="H114" t="str">
        <f>T("MS ")</f>
        <v>MS </v>
      </c>
      <c r="I114" s="1">
        <f>N(39180)</f>
        <v>39180</v>
      </c>
      <c r="J114" s="1">
        <f>N(6016342624)</f>
        <v>6016342624</v>
      </c>
      <c r="K114" s="1">
        <f>N(6016344601)</f>
        <v>6016344601</v>
      </c>
    </row>
    <row r="115" spans="1:11" ht="12.75">
      <c r="A115" s="1" t="s">
        <v>22</v>
      </c>
      <c r="B115" t="str">
        <f>T("OFFICE OF GROUND WATER")</f>
        <v>OFFICE OF GROUND WATER</v>
      </c>
      <c r="C115" t="str">
        <f>T("411 NATIONAL CENTER")</f>
        <v>411 NATIONAL CENTER</v>
      </c>
      <c r="D115" t="s">
        <v>11</v>
      </c>
      <c r="E115" t="s">
        <v>11</v>
      </c>
      <c r="F115" t="s">
        <v>11</v>
      </c>
      <c r="G115" t="str">
        <f aca="true" t="shared" si="3" ref="G115:G138">T("RESTON")</f>
        <v>RESTON</v>
      </c>
      <c r="H115" t="str">
        <f aca="true" t="shared" si="4" ref="H115:H138">T("VA ")</f>
        <v>VA </v>
      </c>
      <c r="I115" s="1">
        <f aca="true" t="shared" si="5" ref="I115:I138">N(20192)</f>
        <v>20192</v>
      </c>
      <c r="J115" s="1">
        <f>N(7036485001)</f>
        <v>7036485001</v>
      </c>
      <c r="K115" s="1">
        <f>N(7036485644)</f>
        <v>7036485644</v>
      </c>
    </row>
    <row r="116" spans="1:11" ht="12.75">
      <c r="A116" s="1" t="s">
        <v>22</v>
      </c>
      <c r="B116" t="str">
        <f>T("OFFICE OF WATER QUALITY")</f>
        <v>OFFICE OF WATER QUALITY</v>
      </c>
      <c r="C116" t="str">
        <f>T("412 NATIONAL CENTER")</f>
        <v>412 NATIONAL CENTER</v>
      </c>
      <c r="D116" t="s">
        <v>11</v>
      </c>
      <c r="E116" t="s">
        <v>11</v>
      </c>
      <c r="F116" t="s">
        <v>11</v>
      </c>
      <c r="G116" t="str">
        <f t="shared" si="3"/>
        <v>RESTON</v>
      </c>
      <c r="H116" t="str">
        <f t="shared" si="4"/>
        <v>VA </v>
      </c>
      <c r="I116" s="1">
        <f t="shared" si="5"/>
        <v>20192</v>
      </c>
      <c r="J116" s="1">
        <f>N(7036486862)</f>
        <v>7036486862</v>
      </c>
      <c r="K116" s="1">
        <f>N(7036485722)</f>
        <v>7036485722</v>
      </c>
    </row>
    <row r="117" spans="1:11" ht="12.75">
      <c r="A117" s="1" t="s">
        <v>22</v>
      </c>
      <c r="B117" t="str">
        <f>T("NAWQA")</f>
        <v>NAWQA</v>
      </c>
      <c r="C117" t="str">
        <f>T("413 NATIONAL CENTER")</f>
        <v>413 NATIONAL CENTER</v>
      </c>
      <c r="D117" t="s">
        <v>11</v>
      </c>
      <c r="E117" t="s">
        <v>11</v>
      </c>
      <c r="F117" t="s">
        <v>11</v>
      </c>
      <c r="G117" t="str">
        <f t="shared" si="3"/>
        <v>RESTON</v>
      </c>
      <c r="H117" t="str">
        <f t="shared" si="4"/>
        <v>VA </v>
      </c>
      <c r="I117" s="1">
        <f t="shared" si="5"/>
        <v>20192</v>
      </c>
      <c r="J117" s="1">
        <f>N(7036485715)</f>
        <v>7036485715</v>
      </c>
      <c r="K117" s="1">
        <f>N(7036486693)</f>
        <v>7036486693</v>
      </c>
    </row>
    <row r="118" spans="1:11" ht="12.75">
      <c r="A118" s="1" t="s">
        <v>22</v>
      </c>
      <c r="B118" t="str">
        <f>T("AD-GEOGRAPHY")</f>
        <v>AD-GEOGRAPHY</v>
      </c>
      <c r="C118" t="str">
        <f>T("516 NATIONAL CENTER")</f>
        <v>516 NATIONAL CENTER</v>
      </c>
      <c r="D118" t="s">
        <v>11</v>
      </c>
      <c r="E118" t="s">
        <v>11</v>
      </c>
      <c r="F118" t="s">
        <v>11</v>
      </c>
      <c r="G118" t="str">
        <f t="shared" si="3"/>
        <v>RESTON</v>
      </c>
      <c r="H118" t="str">
        <f t="shared" si="4"/>
        <v>VA </v>
      </c>
      <c r="I118" s="1">
        <f t="shared" si="5"/>
        <v>20192</v>
      </c>
      <c r="J118" s="1">
        <f>N(7036485748)</f>
        <v>7036485748</v>
      </c>
      <c r="K118" s="1">
        <f>N(7036485939)</f>
        <v>7036485939</v>
      </c>
    </row>
    <row r="119" spans="1:11" ht="12.75">
      <c r="A119" s="1" t="s">
        <v>22</v>
      </c>
      <c r="B119" t="str">
        <f>T("CHIEF SCIENTIST")</f>
        <v>CHIEF SCIENTIST</v>
      </c>
      <c r="C119" t="str">
        <f>T("500 NATIONAL CENTER")</f>
        <v>500 NATIONAL CENTER</v>
      </c>
      <c r="D119" t="s">
        <v>11</v>
      </c>
      <c r="E119" t="s">
        <v>11</v>
      </c>
      <c r="F119" t="s">
        <v>11</v>
      </c>
      <c r="G119" t="str">
        <f t="shared" si="3"/>
        <v>RESTON</v>
      </c>
      <c r="H119" t="str">
        <f t="shared" si="4"/>
        <v>VA </v>
      </c>
      <c r="I119" s="1">
        <f t="shared" si="5"/>
        <v>20192</v>
      </c>
      <c r="J119" s="1">
        <f>N(7036484686)</f>
        <v>7036484686</v>
      </c>
      <c r="K119" s="1">
        <f>N(7036484706)</f>
        <v>7036484706</v>
      </c>
    </row>
    <row r="120" spans="1:11" ht="12.75">
      <c r="A120" s="1" t="s">
        <v>22</v>
      </c>
      <c r="B120" t="str">
        <f>T("OPERATIONS")</f>
        <v>OPERATIONS</v>
      </c>
      <c r="C120" t="str">
        <f>T("511 NATIONAL CENTER")</f>
        <v>511 NATIONAL CENTER</v>
      </c>
      <c r="D120" t="s">
        <v>11</v>
      </c>
      <c r="E120" t="s">
        <v>11</v>
      </c>
      <c r="F120" t="s">
        <v>11</v>
      </c>
      <c r="G120" t="str">
        <f t="shared" si="3"/>
        <v>RESTON</v>
      </c>
      <c r="H120" t="str">
        <f t="shared" si="4"/>
        <v>VA </v>
      </c>
      <c r="I120" s="1">
        <f t="shared" si="5"/>
        <v>20192</v>
      </c>
      <c r="J120" s="1">
        <f>N(7036484633)</f>
        <v>7036484633</v>
      </c>
      <c r="K120" s="1">
        <f>N(7036485792)</f>
        <v>7036485792</v>
      </c>
    </row>
    <row r="121" spans="1:11" ht="12.75">
      <c r="A121" s="1" t="s">
        <v>22</v>
      </c>
      <c r="B121" t="str">
        <f>T("OFC OF GEOGRPHIC ANLYS MNTRNG")</f>
        <v>OFC OF GEOGRPHIC ANLYS MNTRNG</v>
      </c>
      <c r="C121" t="str">
        <f>T("517 NATIONAL CENTER")</f>
        <v>517 NATIONAL CENTER</v>
      </c>
      <c r="D121" t="s">
        <v>11</v>
      </c>
      <c r="E121" t="s">
        <v>11</v>
      </c>
      <c r="F121" t="s">
        <v>11</v>
      </c>
      <c r="G121" t="str">
        <f t="shared" si="3"/>
        <v>RESTON</v>
      </c>
      <c r="H121" t="str">
        <f t="shared" si="4"/>
        <v>VA </v>
      </c>
      <c r="I121" s="1">
        <f t="shared" si="5"/>
        <v>20192</v>
      </c>
      <c r="J121" s="1">
        <f>N(7036485954)</f>
        <v>7036485954</v>
      </c>
      <c r="K121" s="1">
        <f>N(7036485542)</f>
        <v>7036485542</v>
      </c>
    </row>
    <row r="122" spans="1:11" ht="12.75">
      <c r="A122" s="1" t="s">
        <v>22</v>
      </c>
      <c r="B122" t="str">
        <f>T("OFC OF LAND REMOTE SENSING")</f>
        <v>OFC OF LAND REMOTE SENSING</v>
      </c>
      <c r="C122" t="str">
        <f>T("519 NATIONAL CENTER")</f>
        <v>519 NATIONAL CENTER</v>
      </c>
      <c r="D122" t="s">
        <v>11</v>
      </c>
      <c r="E122" t="s">
        <v>11</v>
      </c>
      <c r="F122" t="s">
        <v>11</v>
      </c>
      <c r="G122" t="str">
        <f t="shared" si="3"/>
        <v>RESTON</v>
      </c>
      <c r="H122" t="str">
        <f t="shared" si="4"/>
        <v>VA </v>
      </c>
      <c r="I122" s="1">
        <f t="shared" si="5"/>
        <v>20192</v>
      </c>
      <c r="J122" s="1">
        <f>N(7036484563)</f>
        <v>7036484563</v>
      </c>
      <c r="K122" s="1">
        <f>N(7036484706)</f>
        <v>7036484706</v>
      </c>
    </row>
    <row r="123" spans="1:11" ht="12.75">
      <c r="A123" s="1" t="s">
        <v>22</v>
      </c>
      <c r="B123" t="str">
        <f>T("OFF OF CHF SCIENTST FOR GEOLGY")</f>
        <v>OFF OF CHF SCIENTST FOR GEOLGY</v>
      </c>
      <c r="C123" t="str">
        <f>T("909 NATIONAL CENTER")</f>
        <v>909 NATIONAL CENTER</v>
      </c>
      <c r="D123" t="s">
        <v>11</v>
      </c>
      <c r="E123" t="s">
        <v>11</v>
      </c>
      <c r="F123" t="s">
        <v>11</v>
      </c>
      <c r="G123" t="str">
        <f t="shared" si="3"/>
        <v>RESTON</v>
      </c>
      <c r="H123" t="str">
        <f t="shared" si="4"/>
        <v>VA </v>
      </c>
      <c r="I123" s="1">
        <f t="shared" si="5"/>
        <v>20192</v>
      </c>
      <c r="J123" s="1">
        <f>N(7036486771)</f>
        <v>7036486771</v>
      </c>
      <c r="K123" s="1">
        <f>N(7036486706)</f>
        <v>7036486706</v>
      </c>
    </row>
    <row r="124" spans="1:11" ht="12.75">
      <c r="A124" s="1" t="s">
        <v>22</v>
      </c>
      <c r="B124" t="str">
        <f>T("ASC CHIEF GEO SCIENTIFIC PROG")</f>
        <v>ASC CHIEF GEO SCIENTIFIC PROG</v>
      </c>
      <c r="C124" t="str">
        <f>T("906 NATIONAL CENTER")</f>
        <v>906 NATIONAL CENTER</v>
      </c>
      <c r="D124" t="s">
        <v>11</v>
      </c>
      <c r="E124" t="s">
        <v>11</v>
      </c>
      <c r="F124" t="s">
        <v>11</v>
      </c>
      <c r="G124" t="str">
        <f t="shared" si="3"/>
        <v>RESTON</v>
      </c>
      <c r="H124" t="str">
        <f t="shared" si="4"/>
        <v>VA </v>
      </c>
      <c r="I124" s="1">
        <f t="shared" si="5"/>
        <v>20192</v>
      </c>
      <c r="J124" s="1">
        <f>N(7036486517)</f>
        <v>7036486517</v>
      </c>
      <c r="K124" s="1">
        <f>N(7036486647)</f>
        <v>7036486647</v>
      </c>
    </row>
    <row r="125" spans="1:11" ht="12.75">
      <c r="A125" s="1" t="s">
        <v>22</v>
      </c>
      <c r="B125" t="str">
        <f>T("INTERNATIONAL PROGRAMS")</f>
        <v>INTERNATIONAL PROGRAMS</v>
      </c>
      <c r="C125" t="str">
        <f>T("917 NATIONAL CENTER")</f>
        <v>917 NATIONAL CENTER</v>
      </c>
      <c r="D125" t="s">
        <v>11</v>
      </c>
      <c r="E125" t="s">
        <v>11</v>
      </c>
      <c r="F125" t="s">
        <v>11</v>
      </c>
      <c r="G125" t="str">
        <f t="shared" si="3"/>
        <v>RESTON</v>
      </c>
      <c r="H125" t="str">
        <f t="shared" si="4"/>
        <v>VA </v>
      </c>
      <c r="I125" s="1">
        <f t="shared" si="5"/>
        <v>20192</v>
      </c>
      <c r="J125" s="1">
        <f>N(7036486044)</f>
        <v>7036486044</v>
      </c>
      <c r="K125" s="1">
        <f>N(7036484227)</f>
        <v>7036484227</v>
      </c>
    </row>
    <row r="126" spans="1:11" ht="12.75">
      <c r="A126" s="1" t="s">
        <v>22</v>
      </c>
      <c r="B126" t="str">
        <f>T("MINERAL RESOURSE PROG OFC")</f>
        <v>MINERAL RESOURSE PROG OFC</v>
      </c>
      <c r="C126" t="str">
        <f>T("913 NATIONAL CENTER")</f>
        <v>913 NATIONAL CENTER</v>
      </c>
      <c r="D126" t="s">
        <v>11</v>
      </c>
      <c r="E126" t="s">
        <v>11</v>
      </c>
      <c r="F126" t="s">
        <v>11</v>
      </c>
      <c r="G126" t="str">
        <f t="shared" si="3"/>
        <v>RESTON</v>
      </c>
      <c r="H126" t="str">
        <f t="shared" si="4"/>
        <v>VA </v>
      </c>
      <c r="I126" s="1">
        <f t="shared" si="5"/>
        <v>20192</v>
      </c>
      <c r="J126" s="1">
        <f>N(7036486110)</f>
        <v>7036486110</v>
      </c>
      <c r="K126" s="1">
        <f>N(7036486683)</f>
        <v>7036486683</v>
      </c>
    </row>
    <row r="127" spans="1:11" ht="12.75">
      <c r="A127" s="1" t="s">
        <v>22</v>
      </c>
      <c r="B127" t="str">
        <f>T("NATL COOP GEOL MAPING PROC OFC")</f>
        <v>NATL COOP GEOL MAPING PROC OFC</v>
      </c>
      <c r="C127" t="str">
        <f>T("908 NATIONAL CENTER")</f>
        <v>908 NATIONAL CENTER</v>
      </c>
      <c r="D127" t="s">
        <v>11</v>
      </c>
      <c r="E127" t="s">
        <v>11</v>
      </c>
      <c r="F127" t="s">
        <v>11</v>
      </c>
      <c r="G127" t="str">
        <f t="shared" si="3"/>
        <v>RESTON</v>
      </c>
      <c r="H127" t="str">
        <f t="shared" si="4"/>
        <v>VA </v>
      </c>
      <c r="I127" s="1">
        <f t="shared" si="5"/>
        <v>20192</v>
      </c>
      <c r="J127" s="1">
        <f>N(7036486973)</f>
        <v>7036486973</v>
      </c>
      <c r="K127" s="1">
        <f>N(7036486937)</f>
        <v>7036486937</v>
      </c>
    </row>
    <row r="128" spans="1:11" ht="12.75">
      <c r="A128" s="1" t="s">
        <v>22</v>
      </c>
      <c r="B128" t="str">
        <f>T("ENERGY RESOURCE PROG OFC")</f>
        <v>ENERGY RESOURCE PROG OFC</v>
      </c>
      <c r="C128" t="str">
        <f>T("915 NATIONAL CENTER")</f>
        <v>915 NATIONAL CENTER</v>
      </c>
      <c r="D128" t="s">
        <v>11</v>
      </c>
      <c r="E128" t="s">
        <v>11</v>
      </c>
      <c r="F128" t="s">
        <v>11</v>
      </c>
      <c r="G128" t="str">
        <f t="shared" si="3"/>
        <v>RESTON</v>
      </c>
      <c r="H128" t="str">
        <f t="shared" si="4"/>
        <v>VA </v>
      </c>
      <c r="I128" s="1">
        <f t="shared" si="5"/>
        <v>20192</v>
      </c>
      <c r="J128" s="1">
        <f>N(7036486470)</f>
        <v>7036486470</v>
      </c>
      <c r="K128" s="1">
        <f>N(7036485464)</f>
        <v>7036485464</v>
      </c>
    </row>
    <row r="129" spans="1:11" ht="12.75">
      <c r="A129" s="1" t="s">
        <v>22</v>
      </c>
      <c r="B129" t="str">
        <f>T("COASTAL &amp; MARINE PROG OFC")</f>
        <v>COASTAL &amp; MARINE PROG OFC</v>
      </c>
      <c r="C129" t="str">
        <f>T("915B NATIONAL CENTER")</f>
        <v>915B NATIONAL CENTER</v>
      </c>
      <c r="D129" t="s">
        <v>11</v>
      </c>
      <c r="E129" t="s">
        <v>11</v>
      </c>
      <c r="F129" t="s">
        <v>11</v>
      </c>
      <c r="G129" t="str">
        <f t="shared" si="3"/>
        <v>RESTON</v>
      </c>
      <c r="H129" t="str">
        <f t="shared" si="4"/>
        <v>VA </v>
      </c>
      <c r="I129" s="1">
        <f t="shared" si="5"/>
        <v>20192</v>
      </c>
      <c r="J129" s="1">
        <f>N(7036486422)</f>
        <v>7036486422</v>
      </c>
      <c r="K129" s="1">
        <f>N(7036485464)</f>
        <v>7036485464</v>
      </c>
    </row>
    <row r="130" spans="1:11" ht="12.75">
      <c r="A130" s="1" t="s">
        <v>22</v>
      </c>
      <c r="B130" t="str">
        <f>T("EARTH SURFACE DYNAMICS")</f>
        <v>EARTH SURFACE DYNAMICS</v>
      </c>
      <c r="C130" t="str">
        <f>T("905A NATIONAL CENTER")</f>
        <v>905A NATIONAL CENTER</v>
      </c>
      <c r="D130" t="s">
        <v>11</v>
      </c>
      <c r="E130" t="s">
        <v>11</v>
      </c>
      <c r="F130" t="s">
        <v>11</v>
      </c>
      <c r="G130" t="str">
        <f t="shared" si="3"/>
        <v>RESTON</v>
      </c>
      <c r="H130" t="str">
        <f t="shared" si="4"/>
        <v>VA </v>
      </c>
      <c r="I130" s="1">
        <f t="shared" si="5"/>
        <v>20192</v>
      </c>
      <c r="J130" s="1">
        <f>N(7036486715)</f>
        <v>7036486715</v>
      </c>
      <c r="K130" s="1">
        <f>N(7036486592)</f>
        <v>7036486592</v>
      </c>
    </row>
    <row r="131" spans="1:11" ht="12.75">
      <c r="A131" s="1" t="s">
        <v>22</v>
      </c>
      <c r="B131" t="str">
        <f>T("EARTHQUAKE HAZARDS PROG OFC")</f>
        <v>EARTHQUAKE HAZARDS PROG OFC</v>
      </c>
      <c r="C131" t="str">
        <f>T("905A NATIONAL CENTER")</f>
        <v>905A NATIONAL CENTER</v>
      </c>
      <c r="D131" t="s">
        <v>11</v>
      </c>
      <c r="E131" t="s">
        <v>11</v>
      </c>
      <c r="F131" t="s">
        <v>11</v>
      </c>
      <c r="G131" t="str">
        <f t="shared" si="3"/>
        <v>RESTON</v>
      </c>
      <c r="H131" t="str">
        <f t="shared" si="4"/>
        <v>VA </v>
      </c>
      <c r="I131" s="1">
        <f t="shared" si="5"/>
        <v>20192</v>
      </c>
      <c r="J131" s="1">
        <f>N(7036484991)</f>
        <v>7036484991</v>
      </c>
      <c r="K131" s="1">
        <f>N(7036487222)</f>
        <v>7036487222</v>
      </c>
    </row>
    <row r="132" spans="1:11" ht="12.75">
      <c r="A132" s="1" t="s">
        <v>22</v>
      </c>
      <c r="B132" t="str">
        <f>T("VOLCANO HAZARDS PROGRAM OFC")</f>
        <v>VOLCANO HAZARDS PROGRAM OFC</v>
      </c>
      <c r="C132" t="str">
        <f>T("905B NATIONAL CENTER")</f>
        <v>905B NATIONAL CENTER</v>
      </c>
      <c r="D132" t="s">
        <v>11</v>
      </c>
      <c r="E132" t="s">
        <v>11</v>
      </c>
      <c r="F132" t="s">
        <v>11</v>
      </c>
      <c r="G132" t="str">
        <f t="shared" si="3"/>
        <v>RESTON</v>
      </c>
      <c r="H132" t="str">
        <f t="shared" si="4"/>
        <v>VA </v>
      </c>
      <c r="I132" s="1">
        <f t="shared" si="5"/>
        <v>20192</v>
      </c>
      <c r="J132" s="1">
        <f>N(7036486712)</f>
        <v>7036486712</v>
      </c>
      <c r="K132" s="1">
        <f>N(7036487722)</f>
        <v>7036487722</v>
      </c>
    </row>
    <row r="133" spans="1:11" ht="12.75">
      <c r="A133" s="1" t="s">
        <v>22</v>
      </c>
      <c r="B133" t="str">
        <f>T("ER-REGIONAL DIRECTOR")</f>
        <v>ER-REGIONAL DIRECTOR</v>
      </c>
      <c r="C133" t="str">
        <f>T("150 NATIONAL CENTER")</f>
        <v>150 NATIONAL CENTER</v>
      </c>
      <c r="D133" t="s">
        <v>11</v>
      </c>
      <c r="E133" t="s">
        <v>11</v>
      </c>
      <c r="F133" t="s">
        <v>11</v>
      </c>
      <c r="G133" t="str">
        <f t="shared" si="3"/>
        <v>RESTON</v>
      </c>
      <c r="H133" t="str">
        <f t="shared" si="4"/>
        <v>VA </v>
      </c>
      <c r="I133" s="1">
        <f t="shared" si="5"/>
        <v>20192</v>
      </c>
      <c r="J133" s="1">
        <f>N(7036484582)</f>
        <v>7036484582</v>
      </c>
      <c r="K133" s="1">
        <f>N(7036484588)</f>
        <v>7036484588</v>
      </c>
    </row>
    <row r="134" spans="1:11" ht="12.75">
      <c r="A134" s="1" t="s">
        <v>22</v>
      </c>
      <c r="B134" t="str">
        <f>T("ER OFC OF REGIONAL SERVICES")</f>
        <v>ER OFC OF REGIONAL SERVICES</v>
      </c>
      <c r="C134" t="str">
        <f>T("154 NATIONAL CENTER")</f>
        <v>154 NATIONAL CENTER</v>
      </c>
      <c r="D134" t="s">
        <v>11</v>
      </c>
      <c r="E134" t="s">
        <v>11</v>
      </c>
      <c r="F134" t="s">
        <v>11</v>
      </c>
      <c r="G134" t="str">
        <f t="shared" si="3"/>
        <v>RESTON</v>
      </c>
      <c r="H134" t="str">
        <f t="shared" si="4"/>
        <v>VA </v>
      </c>
      <c r="I134" s="1">
        <f t="shared" si="5"/>
        <v>20192</v>
      </c>
      <c r="J134" s="1">
        <f>N(7036484641)</f>
        <v>7036484641</v>
      </c>
      <c r="K134" s="1">
        <f>N(7036484688)</f>
        <v>7036484688</v>
      </c>
    </row>
    <row r="135" spans="1:11" ht="12.75">
      <c r="A135" s="1" t="s">
        <v>22</v>
      </c>
      <c r="B135" t="str">
        <f>T("BRANCH OF FISCAL SERVICES")</f>
        <v>BRANCH OF FISCAL SERVICES</v>
      </c>
      <c r="C135" t="str">
        <f>T("558 NATIONAL CENTER")</f>
        <v>558 NATIONAL CENTER</v>
      </c>
      <c r="D135" t="s">
        <v>11</v>
      </c>
      <c r="E135" t="s">
        <v>11</v>
      </c>
      <c r="F135" t="s">
        <v>11</v>
      </c>
      <c r="G135" t="str">
        <f t="shared" si="3"/>
        <v>RESTON</v>
      </c>
      <c r="H135" t="str">
        <f t="shared" si="4"/>
        <v>VA </v>
      </c>
      <c r="I135" s="1">
        <f t="shared" si="5"/>
        <v>20192</v>
      </c>
      <c r="J135" s="1">
        <f>N(7036484162)</f>
        <v>7036484162</v>
      </c>
      <c r="K135" s="1">
        <f>N(7036484165)</f>
        <v>7036484165</v>
      </c>
    </row>
    <row r="136" spans="1:11" ht="12.75">
      <c r="A136" s="1" t="s">
        <v>22</v>
      </c>
      <c r="B136" t="str">
        <f>T("BRANCH OF PERSONNEL")</f>
        <v>BRANCH OF PERSONNEL</v>
      </c>
      <c r="C136" t="str">
        <f>T("518 NATIONAL CENTER")</f>
        <v>518 NATIONAL CENTER</v>
      </c>
      <c r="D136" t="s">
        <v>11</v>
      </c>
      <c r="E136" t="s">
        <v>11</v>
      </c>
      <c r="F136" t="s">
        <v>11</v>
      </c>
      <c r="G136" t="str">
        <f t="shared" si="3"/>
        <v>RESTON</v>
      </c>
      <c r="H136" t="str">
        <f t="shared" si="4"/>
        <v>VA </v>
      </c>
      <c r="I136" s="1">
        <f t="shared" si="5"/>
        <v>20192</v>
      </c>
      <c r="J136" s="1">
        <f>N(7036485766)</f>
        <v>7036485766</v>
      </c>
      <c r="K136" s="1">
        <f>N(7036484113)</f>
        <v>7036484113</v>
      </c>
    </row>
    <row r="137" spans="1:11" ht="12.75">
      <c r="A137" s="1" t="s">
        <v>22</v>
      </c>
      <c r="B137" t="str">
        <f>T("BRANCH OF MGMT SERVICES")</f>
        <v>BRANCH OF MGMT SERVICES</v>
      </c>
      <c r="C137" t="str">
        <f>T("153 NATIONAL CENTER")</f>
        <v>153 NATIONAL CENTER</v>
      </c>
      <c r="D137" t="s">
        <v>11</v>
      </c>
      <c r="E137" t="s">
        <v>11</v>
      </c>
      <c r="F137" t="s">
        <v>11</v>
      </c>
      <c r="G137" t="str">
        <f t="shared" si="3"/>
        <v>RESTON</v>
      </c>
      <c r="H137" t="str">
        <f t="shared" si="4"/>
        <v>VA </v>
      </c>
      <c r="I137" s="1">
        <f t="shared" si="5"/>
        <v>20192</v>
      </c>
      <c r="J137" s="1">
        <f>N(7036484087)</f>
        <v>7036484087</v>
      </c>
      <c r="K137" s="1">
        <f>N(7036484688)</f>
        <v>7036484688</v>
      </c>
    </row>
    <row r="138" spans="1:11" ht="12.75">
      <c r="A138" s="1" t="s">
        <v>22</v>
      </c>
      <c r="B138" t="str">
        <f>T("ACQUISITIN &amp; GRANTS BRANCH")</f>
        <v>ACQUISITIN &amp; GRANTS BRANCH</v>
      </c>
      <c r="C138" t="str">
        <f>T("152 NATIONAL CENTER")</f>
        <v>152 NATIONAL CENTER</v>
      </c>
      <c r="D138" t="s">
        <v>11</v>
      </c>
      <c r="E138" t="s">
        <v>11</v>
      </c>
      <c r="F138" t="s">
        <v>11</v>
      </c>
      <c r="G138" t="str">
        <f t="shared" si="3"/>
        <v>RESTON</v>
      </c>
      <c r="H138" t="str">
        <f t="shared" si="4"/>
        <v>VA </v>
      </c>
      <c r="I138" s="1">
        <f t="shared" si="5"/>
        <v>20192</v>
      </c>
      <c r="J138" s="1">
        <f>N(7036487336)</f>
        <v>7036487336</v>
      </c>
      <c r="K138" s="1">
        <f>N(7036487367)</f>
        <v>7036487367</v>
      </c>
    </row>
    <row r="139" spans="1:11" ht="12.75">
      <c r="A139" s="1" t="s">
        <v>22</v>
      </c>
      <c r="B139" t="str">
        <f>T("ER-REGIONAL SCIENCE TEAM")</f>
        <v>ER-REGIONAL SCIENCE TEAM</v>
      </c>
      <c r="C139" t="str">
        <f>T("1700 LEETOWN RD")</f>
        <v>1700 LEETOWN RD</v>
      </c>
      <c r="D139" t="s">
        <v>11</v>
      </c>
      <c r="E139" t="s">
        <v>11</v>
      </c>
      <c r="F139" t="s">
        <v>11</v>
      </c>
      <c r="G139" t="str">
        <f>T("KEARNEYSVILLE")</f>
        <v>KEARNEYSVILLE</v>
      </c>
      <c r="H139" t="str">
        <f>T("WV ")</f>
        <v>WV </v>
      </c>
      <c r="I139" s="1">
        <f>N(25430)</f>
        <v>25430</v>
      </c>
      <c r="J139" s="1">
        <f>N(3047248461)</f>
        <v>3047248461</v>
      </c>
      <c r="K139" s="1">
        <f>N(3047244505)</f>
        <v>3047244505</v>
      </c>
    </row>
    <row r="140" spans="1:11" ht="12.75">
      <c r="A140" s="1" t="s">
        <v>22</v>
      </c>
      <c r="B140" t="str">
        <f>T("UPPER MIDWEST ENVIRON SC")</f>
        <v>UPPER MIDWEST ENVIRON SC</v>
      </c>
      <c r="C140" t="str">
        <f>T("2630 FANTA REED ROAD")</f>
        <v>2630 FANTA REED ROAD</v>
      </c>
      <c r="D140" t="s">
        <v>11</v>
      </c>
      <c r="E140" t="s">
        <v>11</v>
      </c>
      <c r="F140" t="s">
        <v>11</v>
      </c>
      <c r="G140" t="str">
        <f>T("LA CROSSE")</f>
        <v>LA CROSSE</v>
      </c>
      <c r="H140" t="str">
        <f>T("WI ")</f>
        <v>WI </v>
      </c>
      <c r="I140" s="1">
        <f>N(54603)</f>
        <v>54603</v>
      </c>
      <c r="J140" s="1">
        <f>N(6087836451)</f>
        <v>6087836451</v>
      </c>
      <c r="K140" s="1">
        <f>N(6087838058)</f>
        <v>6087838058</v>
      </c>
    </row>
    <row r="141" spans="1:11" ht="12.75">
      <c r="A141" s="1" t="s">
        <v>22</v>
      </c>
      <c r="B141" t="str">
        <f>T("LEETOWN SCIENCE CENTER")</f>
        <v>LEETOWN SCIENCE CENTER</v>
      </c>
      <c r="C141" t="str">
        <f>T("1700 LEETOWN ROAD")</f>
        <v>1700 LEETOWN ROAD</v>
      </c>
      <c r="D141" t="s">
        <v>11</v>
      </c>
      <c r="E141" t="s">
        <v>11</v>
      </c>
      <c r="F141" t="s">
        <v>11</v>
      </c>
      <c r="G141" t="str">
        <f>T("KEARNEYSVILLE")</f>
        <v>KEARNEYSVILLE</v>
      </c>
      <c r="H141" t="str">
        <f>T("WV ")</f>
        <v>WV </v>
      </c>
      <c r="I141" s="1">
        <f>N(25430)</f>
        <v>25430</v>
      </c>
      <c r="J141" s="1">
        <f>N(3047244403)</f>
        <v>3047244403</v>
      </c>
      <c r="K141" s="1">
        <f>N(3047244415)</f>
        <v>3047244415</v>
      </c>
    </row>
    <row r="142" spans="1:11" ht="12.75">
      <c r="A142" s="1" t="s">
        <v>22</v>
      </c>
      <c r="B142" t="str">
        <f>T("FISH HEALTH LABORATORY")</f>
        <v>FISH HEALTH LABORATORY</v>
      </c>
      <c r="C142" t="str">
        <f>T("1700 LEETOWN ROAD")</f>
        <v>1700 LEETOWN ROAD</v>
      </c>
      <c r="D142" t="s">
        <v>11</v>
      </c>
      <c r="E142" t="s">
        <v>11</v>
      </c>
      <c r="F142" t="s">
        <v>11</v>
      </c>
      <c r="G142" t="str">
        <f>T("KEARNEYSVILLE")</f>
        <v>KEARNEYSVILLE</v>
      </c>
      <c r="H142" t="str">
        <f>T("WV ")</f>
        <v>WV </v>
      </c>
      <c r="I142" s="1">
        <f>N(25430)</f>
        <v>25430</v>
      </c>
      <c r="J142" s="1">
        <f>N(3047244403)</f>
        <v>3047244403</v>
      </c>
      <c r="K142" s="1">
        <f>N(3047244415)</f>
        <v>3047244415</v>
      </c>
    </row>
    <row r="143" spans="1:11" ht="12.75">
      <c r="A143" s="1" t="s">
        <v>22</v>
      </c>
      <c r="B143" t="str">
        <f>T("AQUATIC ECOLOGY LABORATORY")</f>
        <v>AQUATIC ECOLOGY LABORATORY</v>
      </c>
      <c r="C143" t="str">
        <f>T("1700 LEETOWN ROAD")</f>
        <v>1700 LEETOWN ROAD</v>
      </c>
      <c r="D143" t="s">
        <v>11</v>
      </c>
      <c r="E143" t="s">
        <v>11</v>
      </c>
      <c r="F143" t="s">
        <v>11</v>
      </c>
      <c r="G143" t="str">
        <f>T("KEARNEYSVILLE")</f>
        <v>KEARNEYSVILLE</v>
      </c>
      <c r="H143" t="str">
        <f>T("WV ")</f>
        <v>WV </v>
      </c>
      <c r="I143" s="1">
        <f>N(25430)</f>
        <v>25430</v>
      </c>
      <c r="J143" s="1">
        <f>N(3047244403)</f>
        <v>3047244403</v>
      </c>
      <c r="K143" s="1">
        <f>N(3047244415)</f>
        <v>3047244415</v>
      </c>
    </row>
    <row r="144" spans="1:11" ht="12.75">
      <c r="A144" s="1" t="s">
        <v>22</v>
      </c>
      <c r="B144" t="str">
        <f>T("GREAT SMOKEY MTNS FLD STN")</f>
        <v>GREAT SMOKEY MTNS FLD STN</v>
      </c>
      <c r="C144" t="str">
        <f>T("1314 CHEROKEE ORCHARD RD")</f>
        <v>1314 CHEROKEE ORCHARD RD</v>
      </c>
      <c r="D144" t="s">
        <v>11</v>
      </c>
      <c r="E144" t="s">
        <v>11</v>
      </c>
      <c r="F144" t="s">
        <v>11</v>
      </c>
      <c r="G144" t="str">
        <f>T("GATLINBURG")</f>
        <v>GATLINBURG</v>
      </c>
      <c r="H144" t="str">
        <f>T("TN ")</f>
        <v>TN </v>
      </c>
      <c r="I144" s="1">
        <f>N(37738)</f>
        <v>37738</v>
      </c>
      <c r="J144" s="1">
        <f>N(8654367120)</f>
        <v>8654367120</v>
      </c>
      <c r="K144" s="1">
        <f>N(8654365598)</f>
        <v>8654365598</v>
      </c>
    </row>
    <row r="145" spans="1:11" ht="12.75">
      <c r="A145" s="1" t="s">
        <v>22</v>
      </c>
      <c r="B145" t="str">
        <f>T("RESEARCH &amp; DEVELOPMENT LABO")</f>
        <v>RESEARCH &amp; DEVELOPMENT LABO</v>
      </c>
      <c r="C145" t="str">
        <f>T("RR4 BOX 63")</f>
        <v>RR4 BOX 63</v>
      </c>
      <c r="D145" t="s">
        <v>11</v>
      </c>
      <c r="E145" t="s">
        <v>11</v>
      </c>
      <c r="F145" t="s">
        <v>11</v>
      </c>
      <c r="G145" t="str">
        <f>T("WELLSBORO")</f>
        <v>WELLSBORO</v>
      </c>
      <c r="H145" t="str">
        <f>T("PA ")</f>
        <v>PA </v>
      </c>
      <c r="I145" s="1">
        <f>N(16901)</f>
        <v>16901</v>
      </c>
      <c r="J145" s="1">
        <f>N(5707243322)</f>
        <v>5707243322</v>
      </c>
      <c r="K145" s="1">
        <f>N(5707242525)</f>
        <v>5707242525</v>
      </c>
    </row>
    <row r="146" spans="1:11" ht="12.75">
      <c r="A146" s="1" t="s">
        <v>22</v>
      </c>
      <c r="B146" t="str">
        <f>T("CONTE ANADROMOUS FISH LAB")</f>
        <v>CONTE ANADROMOUS FISH LAB</v>
      </c>
      <c r="C146" t="str">
        <f>T("ONE MIGRATORY WAY BOX 796")</f>
        <v>ONE MIGRATORY WAY BOX 796</v>
      </c>
      <c r="D146" t="s">
        <v>11</v>
      </c>
      <c r="E146" t="s">
        <v>11</v>
      </c>
      <c r="F146" t="s">
        <v>11</v>
      </c>
      <c r="G146" t="str">
        <f>T("TURNERS FALLS")</f>
        <v>TURNERS FALLS</v>
      </c>
      <c r="H146" t="str">
        <f>T("MA ")</f>
        <v>MA </v>
      </c>
      <c r="I146" s="2" t="s">
        <v>13</v>
      </c>
      <c r="J146" s="1">
        <f>N(4138633801)</f>
        <v>4138633801</v>
      </c>
      <c r="K146" s="1">
        <f>N(4138639810)</f>
        <v>4138639810</v>
      </c>
    </row>
    <row r="147" spans="1:11" ht="12.75">
      <c r="A147" s="1" t="s">
        <v>22</v>
      </c>
      <c r="B147" t="str">
        <f>T("COLUMBUS FIELD STATION")</f>
        <v>COLUMBUS FIELD STATION</v>
      </c>
      <c r="C147" t="str">
        <f>T("OSU 473 KOTTMAN HALL")</f>
        <v>OSU 473 KOTTMAN HALL</v>
      </c>
      <c r="D147" t="str">
        <f>T("2021 COFFEY ROAD")</f>
        <v>2021 COFFEY ROAD</v>
      </c>
      <c r="E147" t="s">
        <v>11</v>
      </c>
      <c r="F147" t="s">
        <v>11</v>
      </c>
      <c r="G147" t="str">
        <f>T("COLUMBUS")</f>
        <v>COLUMBUS</v>
      </c>
      <c r="H147" t="str">
        <f>T("OH ")</f>
        <v>OH </v>
      </c>
      <c r="I147" s="1">
        <f>N(43210)</f>
        <v>43210</v>
      </c>
      <c r="J147" s="1">
        <f>N(6144695701)</f>
        <v>6144695701</v>
      </c>
      <c r="K147" s="1">
        <f>N(6144697432)</f>
        <v>6144697432</v>
      </c>
    </row>
    <row r="148" spans="1:11" ht="12.75">
      <c r="A148" s="1" t="s">
        <v>22</v>
      </c>
      <c r="B148" t="str">
        <f>T("NATIONAL WILDLIFE HEALTH CNTR")</f>
        <v>NATIONAL WILDLIFE HEALTH CNTR</v>
      </c>
      <c r="C148" t="str">
        <f>T("6006 SCHROEDER RD")</f>
        <v>6006 SCHROEDER RD</v>
      </c>
      <c r="D148" t="s">
        <v>11</v>
      </c>
      <c r="E148" t="s">
        <v>11</v>
      </c>
      <c r="F148" t="s">
        <v>11</v>
      </c>
      <c r="G148" t="str">
        <f>T("MADISON")</f>
        <v>MADISON</v>
      </c>
      <c r="H148" t="str">
        <f>T("WI ")</f>
        <v>WI </v>
      </c>
      <c r="I148" s="1">
        <f>N(53711)</f>
        <v>53711</v>
      </c>
      <c r="J148" s="1">
        <f>N(6082702412)</f>
        <v>6082702412</v>
      </c>
      <c r="K148" s="1">
        <f>N(6082702415)</f>
        <v>6082702415</v>
      </c>
    </row>
    <row r="149" spans="1:11" ht="12.75">
      <c r="A149" s="1" t="s">
        <v>22</v>
      </c>
      <c r="B149" t="str">
        <f>T("PATUXENT WILDLIFE RESEARCH C")</f>
        <v>PATUXENT WILDLIFE RESEARCH C</v>
      </c>
      <c r="C149" t="str">
        <f>T("11410 AMERICAN HOLLY DRIVE")</f>
        <v>11410 AMERICAN HOLLY DRIVE</v>
      </c>
      <c r="D149" t="s">
        <v>11</v>
      </c>
      <c r="E149" t="s">
        <v>11</v>
      </c>
      <c r="F149" t="s">
        <v>11</v>
      </c>
      <c r="G149" t="str">
        <f>T("LAUREL")</f>
        <v>LAUREL</v>
      </c>
      <c r="H149" t="str">
        <f>T("MD ")</f>
        <v>MD </v>
      </c>
      <c r="I149" s="1">
        <f>N(20708)</f>
        <v>20708</v>
      </c>
      <c r="J149" s="1">
        <f>N(3014975656)</f>
        <v>3014975656</v>
      </c>
      <c r="K149" s="1">
        <f>N(3014975505)</f>
        <v>3014975505</v>
      </c>
    </row>
    <row r="150" spans="1:11" ht="12.75">
      <c r="A150" s="1" t="s">
        <v>22</v>
      </c>
      <c r="B150" t="str">
        <f>T("RESEARCH PROGRAM")</f>
        <v>RESEARCH PROGRAM</v>
      </c>
      <c r="C150" t="str">
        <f>T("11510 AMERICAN HOLLY DRIVE")</f>
        <v>11510 AMERICAN HOLLY DRIVE</v>
      </c>
      <c r="D150" t="s">
        <v>11</v>
      </c>
      <c r="E150" t="s">
        <v>11</v>
      </c>
      <c r="F150" t="s">
        <v>11</v>
      </c>
      <c r="G150" t="str">
        <f>T("LAUREL")</f>
        <v>LAUREL</v>
      </c>
      <c r="H150" t="str">
        <f>T("MD ")</f>
        <v>MD </v>
      </c>
      <c r="I150" s="1">
        <f>N(20708)</f>
        <v>20708</v>
      </c>
      <c r="J150" s="1">
        <f>N(3014975755)</f>
        <v>3014975755</v>
      </c>
      <c r="K150" s="1">
        <f>N(3014975605)</f>
        <v>3014975605</v>
      </c>
    </row>
    <row r="151" spans="1:11" ht="12.75">
      <c r="A151" s="1" t="s">
        <v>22</v>
      </c>
      <c r="B151" t="str">
        <f>T("OPERATIONS AND PROGRAM SUPPORT")</f>
        <v>OPERATIONS AND PROGRAM SUPPORT</v>
      </c>
      <c r="C151" t="str">
        <f>T("12100 BEECH FOREST RD SUITE 4035")</f>
        <v>12100 BEECH FOREST RD SUITE 4035</v>
      </c>
      <c r="D151" t="s">
        <v>11</v>
      </c>
      <c r="E151" t="s">
        <v>11</v>
      </c>
      <c r="F151" t="s">
        <v>11</v>
      </c>
      <c r="G151" t="str">
        <f>T("LAUREL")</f>
        <v>LAUREL</v>
      </c>
      <c r="H151" t="str">
        <f>T("MD ")</f>
        <v>MD </v>
      </c>
      <c r="I151" s="1">
        <f>N(20708)</f>
        <v>20708</v>
      </c>
      <c r="J151" s="1">
        <f>N(3014975655)</f>
        <v>3014975655</v>
      </c>
      <c r="K151" s="1">
        <f>N(3014975515)</f>
        <v>3014975515</v>
      </c>
    </row>
    <row r="152" spans="1:11" ht="12.75">
      <c r="A152" s="1" t="s">
        <v>22</v>
      </c>
      <c r="B152" t="str">
        <f>T("PATUXENT WRC-SMITHSONIAN")</f>
        <v>PATUXENT WRC-SMITHSONIAN</v>
      </c>
      <c r="C152" t="str">
        <f>T("4512 MCMURRY AVE")</f>
        <v>4512 MCMURRY AVE</v>
      </c>
      <c r="D152" t="s">
        <v>11</v>
      </c>
      <c r="E152" t="s">
        <v>11</v>
      </c>
      <c r="F152" t="s">
        <v>11</v>
      </c>
      <c r="G152" t="str">
        <f>T("FORT COLLINS")</f>
        <v>FORT COLLINS</v>
      </c>
      <c r="H152" t="str">
        <f>T("CO ")</f>
        <v>CO </v>
      </c>
      <c r="I152" s="1">
        <f>N(80525)</f>
        <v>80525</v>
      </c>
      <c r="J152" s="1">
        <f>N(9702269464)</f>
        <v>9702269464</v>
      </c>
      <c r="K152" s="1">
        <f>N(9702269230)</f>
        <v>9702269230</v>
      </c>
    </row>
    <row r="153" spans="1:11" ht="12.75">
      <c r="A153" s="1" t="s">
        <v>22</v>
      </c>
      <c r="B153" t="str">
        <f>T("GREAT LAKES SCIENCE CENTER")</f>
        <v>GREAT LAKES SCIENCE CENTER</v>
      </c>
      <c r="C153" t="str">
        <f>T("1451 GREEN RD")</f>
        <v>1451 GREEN RD</v>
      </c>
      <c r="D153" t="s">
        <v>11</v>
      </c>
      <c r="E153" t="s">
        <v>11</v>
      </c>
      <c r="F153" t="s">
        <v>11</v>
      </c>
      <c r="G153" t="str">
        <f>T("ANN ARBOR")</f>
        <v>ANN ARBOR</v>
      </c>
      <c r="H153" t="str">
        <f>T("MI ")</f>
        <v>MI </v>
      </c>
      <c r="I153" s="1">
        <f>N(48105)</f>
        <v>48105</v>
      </c>
      <c r="J153" s="1">
        <f>N(7342147205)</f>
        <v>7342147205</v>
      </c>
      <c r="K153" s="1">
        <f>N(7349948780)</f>
        <v>7349948780</v>
      </c>
    </row>
    <row r="154" spans="1:11" ht="12.75">
      <c r="A154" s="1" t="s">
        <v>22</v>
      </c>
      <c r="B154" t="str">
        <f>T("ER-REX GEOGRAPHY")</f>
        <v>ER-REX GEOGRAPHY</v>
      </c>
      <c r="C154" t="str">
        <f>T("560 NATIONAL CENTER")</f>
        <v>560 NATIONAL CENTER</v>
      </c>
      <c r="D154" t="s">
        <v>11</v>
      </c>
      <c r="E154" t="s">
        <v>11</v>
      </c>
      <c r="F154" t="s">
        <v>11</v>
      </c>
      <c r="G154" t="str">
        <f>T("RESTON")</f>
        <v>RESTON</v>
      </c>
      <c r="H154" t="str">
        <f>T("VA ")</f>
        <v>VA </v>
      </c>
      <c r="I154" s="1">
        <f>N(20192)</f>
        <v>20192</v>
      </c>
      <c r="J154" s="1">
        <f>N(7036485547)</f>
        <v>7036485547</v>
      </c>
      <c r="K154" s="1">
        <f>N(7036484165)</f>
        <v>7036484165</v>
      </c>
    </row>
    <row r="155" spans="1:11" ht="12.75">
      <c r="A155" s="1" t="s">
        <v>22</v>
      </c>
      <c r="B155" t="str">
        <f>T("ER-REX GEOLOGY")</f>
        <v>ER-REX GEOLOGY</v>
      </c>
      <c r="C155" t="str">
        <f>T("953 NATIONAL CENTER")</f>
        <v>953 NATIONAL CENTER</v>
      </c>
      <c r="D155" t="s">
        <v>11</v>
      </c>
      <c r="E155" t="s">
        <v>11</v>
      </c>
      <c r="F155" t="s">
        <v>11</v>
      </c>
      <c r="G155" t="str">
        <f>T("RESTON")</f>
        <v>RESTON</v>
      </c>
      <c r="H155" t="str">
        <f>T("VA ")</f>
        <v>VA </v>
      </c>
      <c r="I155" s="1">
        <f>N(20192)</f>
        <v>20192</v>
      </c>
      <c r="J155" s="1">
        <f>N(7036486859)</f>
        <v>7036486859</v>
      </c>
      <c r="K155" s="1">
        <f>N(7036486157)</f>
        <v>7036486157</v>
      </c>
    </row>
    <row r="156" spans="1:11" ht="12.75">
      <c r="A156" s="1" t="s">
        <v>22</v>
      </c>
      <c r="B156" t="str">
        <f>T("MINERAL RESOURCE SRVY TEAM")</f>
        <v>MINERAL RESOURCE SRVY TEAM</v>
      </c>
      <c r="C156" t="str">
        <f>T("954 NATIONAL CENTER")</f>
        <v>954 NATIONAL CENTER</v>
      </c>
      <c r="D156" t="s">
        <v>11</v>
      </c>
      <c r="E156" t="s">
        <v>11</v>
      </c>
      <c r="F156" t="s">
        <v>11</v>
      </c>
      <c r="G156" t="str">
        <f>T("RESTON")</f>
        <v>RESTON</v>
      </c>
      <c r="H156" t="str">
        <f>T("VA ")</f>
        <v>VA </v>
      </c>
      <c r="I156" s="1">
        <f>N(20192)</f>
        <v>20192</v>
      </c>
      <c r="J156" s="1">
        <f>N(7036486459)</f>
        <v>7036486459</v>
      </c>
      <c r="K156" s="1">
        <f>N(7036486383)</f>
        <v>7036486383</v>
      </c>
    </row>
    <row r="157" spans="1:11" ht="12.75">
      <c r="A157" s="1" t="s">
        <v>22</v>
      </c>
      <c r="B157" t="str">
        <f>T("EARTH SURFACE PROCESSES")</f>
        <v>EARTH SURFACE PROCESSES</v>
      </c>
      <c r="C157" t="str">
        <f>T("926A NATIONAL CENTER")</f>
        <v>926A NATIONAL CENTER</v>
      </c>
      <c r="D157" t="s">
        <v>11</v>
      </c>
      <c r="E157" t="s">
        <v>11</v>
      </c>
      <c r="F157" t="s">
        <v>11</v>
      </c>
      <c r="G157" t="str">
        <f>T("RESTON")</f>
        <v>RESTON</v>
      </c>
      <c r="H157" t="str">
        <f>T("VA ")</f>
        <v>VA </v>
      </c>
      <c r="I157" s="1">
        <f>N(20192)</f>
        <v>20192</v>
      </c>
      <c r="J157" s="1">
        <f>N(7036485322)</f>
        <v>7036485322</v>
      </c>
      <c r="K157" s="1">
        <f>N(7036486953)</f>
        <v>7036486953</v>
      </c>
    </row>
    <row r="158" spans="1:11" ht="12.75">
      <c r="A158" s="1" t="s">
        <v>22</v>
      </c>
      <c r="B158" t="str">
        <f>T("ENERGY RESOURCE TEAM")</f>
        <v>ENERGY RESOURCE TEAM</v>
      </c>
      <c r="C158" t="str">
        <f>T("956 NATIONAL CENTER")</f>
        <v>956 NATIONAL CENTER</v>
      </c>
      <c r="D158" t="s">
        <v>11</v>
      </c>
      <c r="E158" t="s">
        <v>11</v>
      </c>
      <c r="F158" t="s">
        <v>11</v>
      </c>
      <c r="G158" t="str">
        <f>T("RESTON")</f>
        <v>RESTON</v>
      </c>
      <c r="H158" t="str">
        <f>T("VA ")</f>
        <v>VA </v>
      </c>
      <c r="I158" s="1">
        <f>N(20192)</f>
        <v>20192</v>
      </c>
      <c r="J158" s="1">
        <f>N(7036486474)</f>
        <v>7036486474</v>
      </c>
      <c r="K158" s="1">
        <f>N(7036486419)</f>
        <v>7036486419</v>
      </c>
    </row>
    <row r="159" spans="1:11" ht="12.75">
      <c r="A159" s="1" t="s">
        <v>22</v>
      </c>
      <c r="B159" t="str">
        <f>T("COASTAL MARINE TEAM NE")</f>
        <v>COASTAL MARINE TEAM NE</v>
      </c>
      <c r="C159" t="str">
        <f>T("384 WOODS HOLE RD")</f>
        <v>384 WOODS HOLE RD</v>
      </c>
      <c r="D159" t="s">
        <v>11</v>
      </c>
      <c r="E159" t="s">
        <v>11</v>
      </c>
      <c r="F159" t="s">
        <v>11</v>
      </c>
      <c r="G159" t="str">
        <f>T("WOODS HOLE")</f>
        <v>WOODS HOLE</v>
      </c>
      <c r="H159" t="str">
        <f>T("MA ")</f>
        <v>MA </v>
      </c>
      <c r="I159" s="2" t="s">
        <v>14</v>
      </c>
      <c r="J159" s="1">
        <f>N(5084572215)</f>
        <v>5084572215</v>
      </c>
      <c r="K159" s="1">
        <f>N(5084572309)</f>
        <v>5084572309</v>
      </c>
    </row>
    <row r="160" spans="1:11" ht="12.75">
      <c r="A160" s="1" t="s">
        <v>22</v>
      </c>
      <c r="B160" t="str">
        <f>T("MINERALS INFORMATION TEAM")</f>
        <v>MINERALS INFORMATION TEAM</v>
      </c>
      <c r="C160" t="str">
        <f>T("988 NATIONAL CENTER")</f>
        <v>988 NATIONAL CENTER</v>
      </c>
      <c r="D160" t="s">
        <v>11</v>
      </c>
      <c r="E160" t="s">
        <v>11</v>
      </c>
      <c r="F160" t="s">
        <v>11</v>
      </c>
      <c r="G160" t="str">
        <f>T("RESTON")</f>
        <v>RESTON</v>
      </c>
      <c r="H160" t="str">
        <f>T("VA ")</f>
        <v>VA </v>
      </c>
      <c r="I160" s="1">
        <f>N(20192)</f>
        <v>20192</v>
      </c>
      <c r="J160" s="1">
        <f>N(7036484757)</f>
        <v>7036484757</v>
      </c>
      <c r="K160" s="1">
        <f>N(7036484995)</f>
        <v>7036484995</v>
      </c>
    </row>
    <row r="161" spans="1:11" ht="12.75">
      <c r="A161" s="1" t="s">
        <v>22</v>
      </c>
      <c r="B161" t="str">
        <f>T("MNRLS &amp; MTRLS ANALYSIS SECTIO")</f>
        <v>MNRLS &amp; MTRLS ANALYSIS SECTIO</v>
      </c>
      <c r="C161" t="str">
        <f>T("BOX 25046 MS 750 DFC")</f>
        <v>BOX 25046 MS 750 DFC</v>
      </c>
      <c r="D161" t="s">
        <v>11</v>
      </c>
      <c r="E161" t="s">
        <v>11</v>
      </c>
      <c r="F161" t="s">
        <v>11</v>
      </c>
      <c r="G161" t="str">
        <f>T("DENVER")</f>
        <v>DENVER</v>
      </c>
      <c r="H161" t="str">
        <f>T("CO ")</f>
        <v>CO </v>
      </c>
      <c r="I161" s="1">
        <f>N(80225)</f>
        <v>80225</v>
      </c>
      <c r="J161" s="1">
        <f>N(3032368747)</f>
        <v>3032368747</v>
      </c>
      <c r="K161" s="1">
        <f>N(3032364208)</f>
        <v>3032364208</v>
      </c>
    </row>
    <row r="162" spans="1:11" ht="12.75">
      <c r="A162" s="1" t="s">
        <v>22</v>
      </c>
      <c r="B162" t="str">
        <f>T("METALS SECTION")</f>
        <v>METALS SECTION</v>
      </c>
      <c r="C162" t="str">
        <f>T("989 NATIONAL CENTER")</f>
        <v>989 NATIONAL CENTER</v>
      </c>
      <c r="D162" t="s">
        <v>11</v>
      </c>
      <c r="E162" t="s">
        <v>11</v>
      </c>
      <c r="F162" t="s">
        <v>11</v>
      </c>
      <c r="G162" t="str">
        <f>T("RESTON")</f>
        <v>RESTON</v>
      </c>
      <c r="H162" t="str">
        <f>T("VA ")</f>
        <v>VA </v>
      </c>
      <c r="I162" s="1">
        <f>N(20192)</f>
        <v>20192</v>
      </c>
      <c r="J162" s="1">
        <f>N(7036484983)</f>
        <v>7036484983</v>
      </c>
      <c r="K162" s="1">
        <f>N(7036487757)</f>
        <v>7036487757</v>
      </c>
    </row>
    <row r="163" spans="1:11" ht="12.75">
      <c r="A163" s="1" t="s">
        <v>22</v>
      </c>
      <c r="B163" t="str">
        <f>T("INDUSTRIAL MINERALS SECTION")</f>
        <v>INDUSTRIAL MINERALS SECTION</v>
      </c>
      <c r="C163" t="str">
        <f>T("983 NATIONAL CENTER")</f>
        <v>983 NATIONAL CENTER</v>
      </c>
      <c r="D163" t="s">
        <v>11</v>
      </c>
      <c r="E163" t="s">
        <v>11</v>
      </c>
      <c r="F163" t="s">
        <v>11</v>
      </c>
      <c r="G163" t="str">
        <f>T("RESTON")</f>
        <v>RESTON</v>
      </c>
      <c r="H163" t="str">
        <f>T("VA ")</f>
        <v>VA </v>
      </c>
      <c r="I163" s="1">
        <f>N(20192)</f>
        <v>20192</v>
      </c>
      <c r="J163" s="1">
        <f>N(7036487718)</f>
        <v>7036487718</v>
      </c>
      <c r="K163" s="1">
        <f>N(7036487722)</f>
        <v>7036487722</v>
      </c>
    </row>
    <row r="164" spans="1:11" ht="12.75">
      <c r="A164" s="1" t="s">
        <v>22</v>
      </c>
      <c r="B164" t="str">
        <f>T("SYSTEMS &amp; INFORMATION SVC SEC")</f>
        <v>SYSTEMS &amp; INFORMATION SVC SEC</v>
      </c>
      <c r="C164" t="str">
        <f>T("988 NATIONAL CENTER")</f>
        <v>988 NATIONAL CENTER</v>
      </c>
      <c r="D164" t="s">
        <v>11</v>
      </c>
      <c r="E164" t="s">
        <v>11</v>
      </c>
      <c r="F164" t="s">
        <v>11</v>
      </c>
      <c r="G164" t="str">
        <f>T("RESTON")</f>
        <v>RESTON</v>
      </c>
      <c r="H164" t="str">
        <f>T("VA ")</f>
        <v>VA </v>
      </c>
      <c r="I164" s="1">
        <f>N(20192)</f>
        <v>20192</v>
      </c>
      <c r="J164" s="1">
        <f>N(7036484960)</f>
        <v>7036484960</v>
      </c>
      <c r="K164" s="1">
        <f>N(7036484995)</f>
        <v>7036484995</v>
      </c>
    </row>
    <row r="165" spans="1:11" ht="12.75">
      <c r="A165" s="1" t="s">
        <v>22</v>
      </c>
      <c r="B165" t="str">
        <f>T("INTERNATIONAL MINERALS SECTIO")</f>
        <v>INTERNATIONAL MINERALS SECTIO</v>
      </c>
      <c r="C165" t="str">
        <f>T("981 NATIONAL CENTER")</f>
        <v>981 NATIONAL CENTER</v>
      </c>
      <c r="D165" t="s">
        <v>11</v>
      </c>
      <c r="E165" t="s">
        <v>11</v>
      </c>
      <c r="F165" t="s">
        <v>11</v>
      </c>
      <c r="G165" t="str">
        <f>T("RESTON")</f>
        <v>RESTON</v>
      </c>
      <c r="H165" t="str">
        <f>T("VA ")</f>
        <v>VA </v>
      </c>
      <c r="I165" s="1">
        <f>N(20192)</f>
        <v>20192</v>
      </c>
      <c r="J165" s="1">
        <f>N(7036487718)</f>
        <v>7036487718</v>
      </c>
      <c r="K165" s="1">
        <f>N(7036487722)</f>
        <v>7036487722</v>
      </c>
    </row>
    <row r="166" spans="1:11" ht="12.75">
      <c r="A166" s="1" t="s">
        <v>22</v>
      </c>
      <c r="B166" t="str">
        <f>T("ER-SE HYDROLOGY")</f>
        <v>ER-SE HYDROLOGY</v>
      </c>
      <c r="C166" t="str">
        <f>T("3850 HOLCOMB BRIDGE ROAD SUITE 160")</f>
        <v>3850 HOLCOMB BRIDGE ROAD SUITE 160</v>
      </c>
      <c r="D166" t="s">
        <v>11</v>
      </c>
      <c r="E166" t="s">
        <v>11</v>
      </c>
      <c r="F166" t="s">
        <v>11</v>
      </c>
      <c r="G166" t="str">
        <f>T("NORCROSS")</f>
        <v>NORCROSS</v>
      </c>
      <c r="H166" t="str">
        <f>T("GA ")</f>
        <v>GA </v>
      </c>
      <c r="I166" s="1">
        <f>N(30092)</f>
        <v>30092</v>
      </c>
      <c r="J166" s="1">
        <f>N(4102384213)</f>
        <v>4102384213</v>
      </c>
      <c r="K166" s="1">
        <f>N(4102384210)</f>
        <v>4102384210</v>
      </c>
    </row>
    <row r="167" spans="1:11" ht="12.75">
      <c r="A167" s="1" t="s">
        <v>22</v>
      </c>
      <c r="B167" t="str">
        <f>T("ALABAMA DISTRICT")</f>
        <v>ALABAMA DISTRICT</v>
      </c>
      <c r="C167" t="str">
        <f>T("2350 FAIRLANE DRIVE")</f>
        <v>2350 FAIRLANE DRIVE</v>
      </c>
      <c r="D167" t="str">
        <f>T("SUITE 120")</f>
        <v>SUITE 120</v>
      </c>
      <c r="E167" t="s">
        <v>11</v>
      </c>
      <c r="F167" t="s">
        <v>11</v>
      </c>
      <c r="G167" t="str">
        <f>T("MONTGOMERY")</f>
        <v>MONTGOMERY</v>
      </c>
      <c r="H167" t="str">
        <f>T("AL ")</f>
        <v>AL </v>
      </c>
      <c r="I167" s="1">
        <f>N(36116)</f>
        <v>36116</v>
      </c>
      <c r="J167" s="1">
        <f>N(3342132332)</f>
        <v>3342132332</v>
      </c>
      <c r="K167" s="1">
        <f>N(3342132348)</f>
        <v>3342132348</v>
      </c>
    </row>
    <row r="168" spans="1:11" ht="12.75">
      <c r="A168" s="1" t="s">
        <v>22</v>
      </c>
      <c r="B168" t="str">
        <f>T("SUBDISTRICT OFFICE-ORLANDO")</f>
        <v>SUBDISTRICT OFFICE-ORLANDO</v>
      </c>
      <c r="C168" t="str">
        <f>T("4500 SW 40TH AVENUE")</f>
        <v>4500 SW 40TH AVENUE</v>
      </c>
      <c r="D168" t="s">
        <v>11</v>
      </c>
      <c r="E168" t="s">
        <v>11</v>
      </c>
      <c r="F168" t="s">
        <v>11</v>
      </c>
      <c r="G168" t="str">
        <f>T("OCALA")</f>
        <v>OCALA</v>
      </c>
      <c r="H168" t="str">
        <f>T("FL ")</f>
        <v>FL </v>
      </c>
      <c r="I168" s="1">
        <f>N(34474)</f>
        <v>34474</v>
      </c>
      <c r="J168" s="1">
        <f>N(3522375514)</f>
        <v>3522375514</v>
      </c>
      <c r="K168" s="1">
        <f>N(3522377081)</f>
        <v>3522377081</v>
      </c>
    </row>
    <row r="169" spans="1:11" ht="12.75">
      <c r="A169" s="1" t="s">
        <v>22</v>
      </c>
      <c r="B169" t="str">
        <f>T("SUBDISTRICT OFFICE-MIAMI")</f>
        <v>SUBDISTRICT OFFICE-MIAMI</v>
      </c>
      <c r="C169" t="str">
        <f>T("9100 NW 36TH ST")</f>
        <v>9100 NW 36TH ST</v>
      </c>
      <c r="D169" t="str">
        <f>T("SUITE 107")</f>
        <v>SUITE 107</v>
      </c>
      <c r="E169" t="s">
        <v>11</v>
      </c>
      <c r="F169" t="s">
        <v>11</v>
      </c>
      <c r="G169" t="str">
        <f>T("MIAMI")</f>
        <v>MIAMI</v>
      </c>
      <c r="H169" t="str">
        <f>T("FL ")</f>
        <v>FL </v>
      </c>
      <c r="I169" s="1">
        <f>N(33178)</f>
        <v>33178</v>
      </c>
      <c r="J169" s="1">
        <f>N(3057175800)</f>
        <v>3057175800</v>
      </c>
      <c r="K169" s="1">
        <f>N(3057175801)</f>
        <v>3057175801</v>
      </c>
    </row>
    <row r="170" spans="1:11" ht="12.75">
      <c r="A170" s="1" t="s">
        <v>22</v>
      </c>
      <c r="B170" t="str">
        <f>T("MISSISSIPPI DISTRICT")</f>
        <v>MISSISSIPPI DISTRICT</v>
      </c>
      <c r="C170" t="str">
        <f>T("308 SOUTH AIRPORT RD")</f>
        <v>308 SOUTH AIRPORT RD</v>
      </c>
      <c r="D170" t="s">
        <v>11</v>
      </c>
      <c r="E170" t="s">
        <v>11</v>
      </c>
      <c r="F170" t="s">
        <v>11</v>
      </c>
      <c r="G170" t="str">
        <f>T("PEARL")</f>
        <v>PEARL</v>
      </c>
      <c r="H170" t="str">
        <f>T("MS ")</f>
        <v>MS </v>
      </c>
      <c r="I170" s="1">
        <f>N(39208)</f>
        <v>39208</v>
      </c>
      <c r="J170" s="1">
        <f>N(6019332900)</f>
        <v>6019332900</v>
      </c>
      <c r="K170" s="1">
        <f>N(6019332901)</f>
        <v>6019332901</v>
      </c>
    </row>
    <row r="171" spans="1:11" ht="12.75">
      <c r="A171" s="1" t="s">
        <v>22</v>
      </c>
      <c r="B171" t="str">
        <f>T("NORTH CAROLINA DISTRICT")</f>
        <v>NORTH CAROLINA DISTRICT</v>
      </c>
      <c r="C171" t="str">
        <f>T("3916 SUNSET RIDGE RD")</f>
        <v>3916 SUNSET RIDGE RD</v>
      </c>
      <c r="D171" t="s">
        <v>11</v>
      </c>
      <c r="E171" t="s">
        <v>11</v>
      </c>
      <c r="F171" t="s">
        <v>11</v>
      </c>
      <c r="G171" t="str">
        <f>T("RALEIGH")</f>
        <v>RALEIGH</v>
      </c>
      <c r="H171" t="str">
        <f>T("NC ")</f>
        <v>NC </v>
      </c>
      <c r="I171" s="1">
        <f>N(27607)</f>
        <v>27607</v>
      </c>
      <c r="J171" s="1">
        <f>N(9195714000)</f>
        <v>9195714000</v>
      </c>
      <c r="K171" s="1">
        <f>N(9195714041)</f>
        <v>9195714041</v>
      </c>
    </row>
    <row r="172" spans="1:11" ht="12.75">
      <c r="A172" s="1" t="s">
        <v>22</v>
      </c>
      <c r="B172" t="str">
        <f>T("CARRIBEAN DISTRICT")</f>
        <v>CARRIBEAN DISTRICT</v>
      </c>
      <c r="C172" t="str">
        <f>T("GSA CENTER 651 FEDERAL DR")</f>
        <v>GSA CENTER 651 FEDERAL DR</v>
      </c>
      <c r="D172" t="str">
        <f>T("SUITE 400 15")</f>
        <v>SUITE 400 15</v>
      </c>
      <c r="E172" t="s">
        <v>11</v>
      </c>
      <c r="F172" t="s">
        <v>11</v>
      </c>
      <c r="G172" t="str">
        <f>T("GUAYNABO")</f>
        <v>GUAYNABO</v>
      </c>
      <c r="H172" t="str">
        <f>T("PR ")</f>
        <v>PR </v>
      </c>
      <c r="I172" s="2" t="s">
        <v>15</v>
      </c>
      <c r="J172" s="1">
        <f>N(7877494346)</f>
        <v>7877494346</v>
      </c>
      <c r="K172" s="1">
        <f>N(7877494462)</f>
        <v>7877494462</v>
      </c>
    </row>
    <row r="173" spans="1:11" ht="12.75">
      <c r="A173" s="1" t="s">
        <v>22</v>
      </c>
      <c r="B173" t="str">
        <f>T("SOUTH CAROLINA DISTRICT")</f>
        <v>SOUTH CAROLINA DISTRICT</v>
      </c>
      <c r="C173" t="str">
        <f>T("720 GRACERN RD")</f>
        <v>720 GRACERN RD</v>
      </c>
      <c r="D173" t="str">
        <f>T("STEPHENSON CENTER SUITE 129")</f>
        <v>STEPHENSON CENTER SUITE 129</v>
      </c>
      <c r="E173" t="s">
        <v>11</v>
      </c>
      <c r="F173" t="s">
        <v>11</v>
      </c>
      <c r="G173" t="str">
        <f>T("COLUMBIA")</f>
        <v>COLUMBIA</v>
      </c>
      <c r="H173" t="str">
        <f>T("SC ")</f>
        <v>SC </v>
      </c>
      <c r="I173" s="1">
        <f>N(29210)</f>
        <v>29210</v>
      </c>
      <c r="J173" s="1">
        <f>N(8037506100)</f>
        <v>8037506100</v>
      </c>
      <c r="K173" s="1">
        <f>N(8037506181)</f>
        <v>8037506181</v>
      </c>
    </row>
    <row r="174" spans="1:11" ht="12.75">
      <c r="A174" s="1" t="s">
        <v>22</v>
      </c>
      <c r="B174" t="str">
        <f>T("TENNESSEE DISTRICT")</f>
        <v>TENNESSEE DISTRICT</v>
      </c>
      <c r="C174" t="str">
        <f>T("640 GRASSMERE PARK")</f>
        <v>640 GRASSMERE PARK</v>
      </c>
      <c r="D174" t="str">
        <f>T("SUITE 100")</f>
        <v>SUITE 100</v>
      </c>
      <c r="E174" t="s">
        <v>11</v>
      </c>
      <c r="F174" t="s">
        <v>11</v>
      </c>
      <c r="G174" t="str">
        <f>T("NASHVILLE")</f>
        <v>NASHVILLE</v>
      </c>
      <c r="H174" t="str">
        <f>T("TN ")</f>
        <v>TN </v>
      </c>
      <c r="I174" s="1">
        <f>N(37211)</f>
        <v>37211</v>
      </c>
      <c r="J174" s="1">
        <f>N(6158374700)</f>
        <v>6158374700</v>
      </c>
      <c r="K174" s="1">
        <f>N(6158374799)</f>
        <v>6158374799</v>
      </c>
    </row>
    <row r="175" spans="1:11" ht="12.75">
      <c r="A175" s="1" t="s">
        <v>22</v>
      </c>
      <c r="B175" t="str">
        <f>T("CR-REGIONAL DIRECTOR")</f>
        <v>CR-REGIONAL DIRECTOR</v>
      </c>
      <c r="C175" t="str">
        <f>T("BOX 25046 DFC MS 150")</f>
        <v>BOX 25046 DFC MS 150</v>
      </c>
      <c r="D175" t="s">
        <v>11</v>
      </c>
      <c r="E175" t="s">
        <v>11</v>
      </c>
      <c r="F175" t="s">
        <v>11</v>
      </c>
      <c r="G175" t="str">
        <f>T("DENVER")</f>
        <v>DENVER</v>
      </c>
      <c r="H175" t="str">
        <f>T("CO ")</f>
        <v>CO </v>
      </c>
      <c r="I175" s="1">
        <f>N(80225)</f>
        <v>80225</v>
      </c>
      <c r="J175" s="1">
        <f>N(3032024764)</f>
        <v>3032024764</v>
      </c>
      <c r="K175" s="1">
        <f>N(3032024742)</f>
        <v>3032024742</v>
      </c>
    </row>
    <row r="176" spans="1:11" ht="12.75">
      <c r="A176" s="1" t="s">
        <v>22</v>
      </c>
      <c r="B176" t="str">
        <f>T("CR REX BIOLOGY")</f>
        <v>CR REX BIOLOGY</v>
      </c>
      <c r="C176" t="str">
        <f>T("BOX 25046 MS 300 DFC")</f>
        <v>BOX 25046 MS 300 DFC</v>
      </c>
      <c r="D176" t="s">
        <v>11</v>
      </c>
      <c r="E176" t="s">
        <v>11</v>
      </c>
      <c r="F176" t="s">
        <v>11</v>
      </c>
      <c r="G176" t="str">
        <f>T("DENVER")</f>
        <v>DENVER</v>
      </c>
      <c r="H176" t="str">
        <f>T("CO ")</f>
        <v>CO </v>
      </c>
      <c r="I176" s="1">
        <f>N(80225)</f>
        <v>80225</v>
      </c>
      <c r="J176" s="1">
        <f>N(3032362730)</f>
        <v>3032362730</v>
      </c>
      <c r="K176" s="1">
        <f>N(3032362733)</f>
        <v>3032362733</v>
      </c>
    </row>
    <row r="177" spans="1:11" ht="12.75">
      <c r="A177" s="1" t="s">
        <v>22</v>
      </c>
      <c r="B177" t="str">
        <f>T("FORT COLLINS SCIENCE CENTER")</f>
        <v>FORT COLLINS SCIENCE CENTER</v>
      </c>
      <c r="C177" t="str">
        <f>T("FORT COLLINS SCIENCE CENTER")</f>
        <v>FORT COLLINS SCIENCE CENTER</v>
      </c>
      <c r="D177" t="str">
        <f>T("2150 CENTRE AVE BLDG C")</f>
        <v>2150 CENTRE AVE BLDG C</v>
      </c>
      <c r="E177" t="s">
        <v>11</v>
      </c>
      <c r="F177" t="s">
        <v>11</v>
      </c>
      <c r="G177" t="str">
        <f>T("FORT COLLINS")</f>
        <v>FORT COLLINS</v>
      </c>
      <c r="H177" t="str">
        <f>T("CO ")</f>
        <v>CO </v>
      </c>
      <c r="I177" s="1" t="str">
        <f>T("80526-8118 ")</f>
        <v>80526-8118 </v>
      </c>
      <c r="J177" s="1">
        <f>N(9702269393)</f>
        <v>9702269393</v>
      </c>
      <c r="K177" s="1">
        <f>N(9702269230)</f>
        <v>9702269230</v>
      </c>
    </row>
    <row r="178" spans="1:11" ht="12.75">
      <c r="A178" s="1" t="s">
        <v>22</v>
      </c>
      <c r="B178" t="str">
        <f>T("NO ROCKY MTN SCI CENTER")</f>
        <v>NO ROCKY MTN SCI CENTER</v>
      </c>
      <c r="C178" t="str">
        <f>T("US GEOLOGICAL SURVEY  AJM JOHNSON HALL")</f>
        <v>US GEOLOGICAL SURVEY  AJM JOHNSON HALL</v>
      </c>
      <c r="D178" t="str">
        <f>T("MONTANA STATE UNIVERSITY")</f>
        <v>MONTANA STATE UNIVERSITY</v>
      </c>
      <c r="E178" t="s">
        <v>11</v>
      </c>
      <c r="F178" t="s">
        <v>11</v>
      </c>
      <c r="G178" t="str">
        <f>T("BOZEMAN")</f>
        <v>BOZEMAN</v>
      </c>
      <c r="H178" t="str">
        <f>T("MT ")</f>
        <v>MT </v>
      </c>
      <c r="I178" s="1">
        <f>N(59717)</f>
        <v>59717</v>
      </c>
      <c r="J178" s="1">
        <f>N(4069944293)</f>
        <v>4069944293</v>
      </c>
      <c r="K178" s="1">
        <f>N(4069946556)</f>
        <v>4069946556</v>
      </c>
    </row>
    <row r="179" spans="1:11" ht="12.75">
      <c r="A179" s="1" t="s">
        <v>22</v>
      </c>
      <c r="B179" t="str">
        <f>T("NO PRAIRIE WILDLIFE RES")</f>
        <v>NO PRAIRIE WILDLIFE RES</v>
      </c>
      <c r="C179" t="str">
        <f>T("8711 37TH ST SE")</f>
        <v>8711 37TH ST SE</v>
      </c>
      <c r="D179" t="s">
        <v>11</v>
      </c>
      <c r="E179" t="s">
        <v>11</v>
      </c>
      <c r="F179" t="s">
        <v>11</v>
      </c>
      <c r="G179" t="str">
        <f>T("JAMESTOWN")</f>
        <v>JAMESTOWN</v>
      </c>
      <c r="H179" t="str">
        <f>T("ND ")</f>
        <v>ND </v>
      </c>
      <c r="I179" s="1">
        <f>N(58041)</f>
        <v>58041</v>
      </c>
      <c r="J179" s="1">
        <f>N(7012535502)</f>
        <v>7012535502</v>
      </c>
      <c r="K179" s="1">
        <f>N(7012535553)</f>
        <v>7012535553</v>
      </c>
    </row>
    <row r="180" spans="1:11" ht="12.75">
      <c r="A180" s="1" t="s">
        <v>22</v>
      </c>
      <c r="B180" t="str">
        <f>T("COLUMBIA ENVIRONMENTAL RC")</f>
        <v>COLUMBIA ENVIRONMENTAL RC</v>
      </c>
      <c r="C180" t="str">
        <f>T("4200 NEW HAVEN ROAD")</f>
        <v>4200 NEW HAVEN ROAD</v>
      </c>
      <c r="D180" t="s">
        <v>11</v>
      </c>
      <c r="E180" t="s">
        <v>11</v>
      </c>
      <c r="F180" t="s">
        <v>11</v>
      </c>
      <c r="G180" t="str">
        <f>T("COLUMBIA")</f>
        <v>COLUMBIA</v>
      </c>
      <c r="H180" t="str">
        <f>T("MO ")</f>
        <v>MO </v>
      </c>
      <c r="I180" s="1">
        <f>N(65201)</f>
        <v>65201</v>
      </c>
      <c r="J180" s="1">
        <f>N(5738761835)</f>
        <v>5738761835</v>
      </c>
      <c r="K180" s="1">
        <f>N(5738761896)</f>
        <v>5738761896</v>
      </c>
    </row>
    <row r="181" spans="1:11" ht="12.75">
      <c r="A181" s="1" t="s">
        <v>22</v>
      </c>
      <c r="B181" t="str">
        <f>T("NATIONAL WETLANDS RESEARCH C")</f>
        <v>NATIONAL WETLANDS RESEARCH C</v>
      </c>
      <c r="C181" t="str">
        <f>T("700 CAJUNDOME BLVD")</f>
        <v>700 CAJUNDOME BLVD</v>
      </c>
      <c r="D181" t="s">
        <v>11</v>
      </c>
      <c r="E181" t="s">
        <v>11</v>
      </c>
      <c r="F181" t="s">
        <v>11</v>
      </c>
      <c r="G181" t="str">
        <f>T("LAFAYETTE")</f>
        <v>LAFAYETTE</v>
      </c>
      <c r="H181" t="str">
        <f>T("LA ")</f>
        <v>LA </v>
      </c>
      <c r="I181" s="1">
        <f>N(70506)</f>
        <v>70506</v>
      </c>
      <c r="J181" s="1">
        <f>N(3372668513)</f>
        <v>3372668513</v>
      </c>
      <c r="K181" s="1">
        <f>N(3372668513)</f>
        <v>3372668513</v>
      </c>
    </row>
    <row r="182" spans="1:11" ht="12.75">
      <c r="A182" s="1" t="s">
        <v>22</v>
      </c>
      <c r="B182" t="str">
        <f>T("OFC OF CENTRAL REGION SERVICES")</f>
        <v>OFC OF CENTRAL REGION SERVICES</v>
      </c>
      <c r="C182" t="str">
        <f>T("BOX 25046 MS 303 DFC")</f>
        <v>BOX 25046 MS 303 DFC</v>
      </c>
      <c r="D182" t="s">
        <v>11</v>
      </c>
      <c r="E182" t="s">
        <v>11</v>
      </c>
      <c r="F182" t="s">
        <v>11</v>
      </c>
      <c r="G182" t="str">
        <f aca="true" t="shared" si="6" ref="G182:G187">T("DENVER")</f>
        <v>DENVER</v>
      </c>
      <c r="H182" t="str">
        <f aca="true" t="shared" si="7" ref="H182:H187">T("CO ")</f>
        <v>CO </v>
      </c>
      <c r="I182" s="1">
        <f aca="true" t="shared" si="8" ref="I182:I187">N(80225)</f>
        <v>80225</v>
      </c>
      <c r="J182" s="1">
        <f>N(3032369731)</f>
        <v>3032369731</v>
      </c>
      <c r="K182" s="1">
        <f>N(3022369746)</f>
        <v>3022369746</v>
      </c>
    </row>
    <row r="183" spans="1:11" ht="12.75">
      <c r="A183" s="1" t="s">
        <v>22</v>
      </c>
      <c r="B183" t="str">
        <f>T("BRANCH OF FISCAL SERVICES")</f>
        <v>BRANCH OF FISCAL SERVICES</v>
      </c>
      <c r="C183" t="str">
        <f>T("PO BOX 25046 MS 303")</f>
        <v>PO BOX 25046 MS 303</v>
      </c>
      <c r="D183" t="s">
        <v>11</v>
      </c>
      <c r="E183" t="s">
        <v>11</v>
      </c>
      <c r="F183" t="s">
        <v>11</v>
      </c>
      <c r="G183" t="str">
        <f t="shared" si="6"/>
        <v>DENVER</v>
      </c>
      <c r="H183" t="str">
        <f t="shared" si="7"/>
        <v>CO </v>
      </c>
      <c r="I183" s="1">
        <f t="shared" si="8"/>
        <v>80225</v>
      </c>
      <c r="J183" s="1">
        <f>N(3032369732)</f>
        <v>3032369732</v>
      </c>
      <c r="K183" s="1">
        <f>N(3032369746)</f>
        <v>3032369746</v>
      </c>
    </row>
    <row r="184" spans="1:11" ht="12.75">
      <c r="A184" s="1" t="s">
        <v>22</v>
      </c>
      <c r="B184" t="str">
        <f>T("BR OF PERSONNEL")</f>
        <v>BR OF PERSONNEL</v>
      </c>
      <c r="C184" t="str">
        <f>T("BOX 25046 DFC MS 609")</f>
        <v>BOX 25046 DFC MS 609</v>
      </c>
      <c r="D184" t="s">
        <v>11</v>
      </c>
      <c r="E184" t="s">
        <v>11</v>
      </c>
      <c r="F184" t="s">
        <v>11</v>
      </c>
      <c r="G184" t="str">
        <f t="shared" si="6"/>
        <v>DENVER</v>
      </c>
      <c r="H184" t="str">
        <f t="shared" si="7"/>
        <v>CO </v>
      </c>
      <c r="I184" s="1">
        <f t="shared" si="8"/>
        <v>80225</v>
      </c>
      <c r="J184" s="1">
        <f>N(3032369556)</f>
        <v>3032369556</v>
      </c>
      <c r="K184" s="1">
        <f>N(3032365926)</f>
        <v>3032365926</v>
      </c>
    </row>
    <row r="185" spans="1:11" ht="12.75">
      <c r="A185" s="1" t="s">
        <v>22</v>
      </c>
      <c r="B185" t="str">
        <f>T("BR OF MANAGEMENT SERVICES")</f>
        <v>BR OF MANAGEMENT SERVICES</v>
      </c>
      <c r="C185" t="str">
        <f>T("BOX 25046 DFC MS 205")</f>
        <v>BOX 25046 DFC MS 205</v>
      </c>
      <c r="D185" t="s">
        <v>11</v>
      </c>
      <c r="E185" t="s">
        <v>11</v>
      </c>
      <c r="F185" t="s">
        <v>11</v>
      </c>
      <c r="G185" t="str">
        <f t="shared" si="6"/>
        <v>DENVER</v>
      </c>
      <c r="H185" t="str">
        <f t="shared" si="7"/>
        <v>CO </v>
      </c>
      <c r="I185" s="1">
        <f t="shared" si="8"/>
        <v>80225</v>
      </c>
      <c r="J185" s="1">
        <f>N(3032369176)</f>
        <v>3032369176</v>
      </c>
      <c r="K185" s="1">
        <f>N(3032365963)</f>
        <v>3032365963</v>
      </c>
    </row>
    <row r="186" spans="1:11" ht="12.75">
      <c r="A186" s="1" t="s">
        <v>22</v>
      </c>
      <c r="B186" t="str">
        <f>T("BR OF INFORMATION SERVICES BRANCH")</f>
        <v>BR OF INFORMATION SERVICES BRANCH</v>
      </c>
      <c r="C186" t="str">
        <f>T("BOX 25046 DFC MS 801")</f>
        <v>BOX 25046 DFC MS 801</v>
      </c>
      <c r="D186" t="s">
        <v>11</v>
      </c>
      <c r="E186" t="s">
        <v>11</v>
      </c>
      <c r="F186" t="s">
        <v>11</v>
      </c>
      <c r="G186" t="str">
        <f t="shared" si="6"/>
        <v>DENVER</v>
      </c>
      <c r="H186" t="str">
        <f t="shared" si="7"/>
        <v>CO </v>
      </c>
      <c r="I186" s="1">
        <f t="shared" si="8"/>
        <v>80225</v>
      </c>
      <c r="J186" s="1">
        <f>N(3032364950)</f>
        <v>3032364950</v>
      </c>
      <c r="K186" s="1">
        <f>N(3032368888)</f>
        <v>3032368888</v>
      </c>
    </row>
    <row r="187" spans="1:11" ht="12.75">
      <c r="A187" s="1" t="s">
        <v>22</v>
      </c>
      <c r="B187" t="str">
        <f>T("ACQUISITION &amp; GRANTS BRANCH")</f>
        <v>ACQUISITION &amp; GRANTS BRANCH</v>
      </c>
      <c r="C187" t="str">
        <f>T("BOX 25046 MS 204A DFC")</f>
        <v>BOX 25046 MS 204A DFC</v>
      </c>
      <c r="D187" t="s">
        <v>11</v>
      </c>
      <c r="E187" t="s">
        <v>11</v>
      </c>
      <c r="F187" t="s">
        <v>11</v>
      </c>
      <c r="G187" t="str">
        <f t="shared" si="6"/>
        <v>DENVER</v>
      </c>
      <c r="H187" t="str">
        <f t="shared" si="7"/>
        <v>CO </v>
      </c>
      <c r="I187" s="1">
        <f t="shared" si="8"/>
        <v>80225</v>
      </c>
      <c r="J187" s="1">
        <f>N(3032369327)</f>
        <v>3032369327</v>
      </c>
      <c r="K187" s="1">
        <f>N(3032365859)</f>
        <v>3032365859</v>
      </c>
    </row>
    <row r="188" spans="1:11" ht="12.75">
      <c r="A188" s="1" t="s">
        <v>22</v>
      </c>
      <c r="B188" t="str">
        <f>T("ER-NR HYDROLOGY")</f>
        <v>ER-NR HYDROLOGY</v>
      </c>
      <c r="C188" t="str">
        <f>T("433 NATIONAL CENTER")</f>
        <v>433 NATIONAL CENTER</v>
      </c>
      <c r="D188" t="s">
        <v>11</v>
      </c>
      <c r="E188" t="s">
        <v>11</v>
      </c>
      <c r="F188" t="s">
        <v>11</v>
      </c>
      <c r="G188" t="str">
        <f>T("RESTON")</f>
        <v>RESTON</v>
      </c>
      <c r="H188" t="str">
        <f>T("VA ")</f>
        <v>VA </v>
      </c>
      <c r="I188" s="1">
        <f>N(20192)</f>
        <v>20192</v>
      </c>
      <c r="J188" s="1">
        <f>N(7036486474)</f>
        <v>7036486474</v>
      </c>
      <c r="K188" s="1">
        <f>N(7036486419)</f>
        <v>7036486419</v>
      </c>
    </row>
    <row r="189" spans="1:11" ht="12.75">
      <c r="A189" s="1" t="s">
        <v>22</v>
      </c>
      <c r="B189" t="str">
        <f>T("NE RESEARCH")</f>
        <v>NE RESEARCH</v>
      </c>
      <c r="C189" t="str">
        <f>T("432 NATIONAL CENTER")</f>
        <v>432 NATIONAL CENTER</v>
      </c>
      <c r="D189" t="s">
        <v>11</v>
      </c>
      <c r="E189" t="s">
        <v>11</v>
      </c>
      <c r="F189" t="s">
        <v>11</v>
      </c>
      <c r="G189" t="str">
        <f>T("RESTON")</f>
        <v>RESTON</v>
      </c>
      <c r="H189" t="str">
        <f>T("VA ")</f>
        <v>VA </v>
      </c>
      <c r="I189" s="1">
        <f>N(20192)</f>
        <v>20192</v>
      </c>
      <c r="J189" s="1">
        <f>N(7036485808)</f>
        <v>7036485808</v>
      </c>
      <c r="K189" s="1">
        <f>N(7036485832)</f>
        <v>7036485832</v>
      </c>
    </row>
    <row r="190" spans="1:11" ht="12.75">
      <c r="A190" s="1" t="s">
        <v>22</v>
      </c>
      <c r="B190" t="str">
        <f>T("CONNECTICUT DISTRICT")</f>
        <v>CONNECTICUT DISTRICT</v>
      </c>
      <c r="C190" t="str">
        <f>T("101 PITKIN ST")</f>
        <v>101 PITKIN ST</v>
      </c>
      <c r="D190" t="s">
        <v>11</v>
      </c>
      <c r="E190" t="s">
        <v>11</v>
      </c>
      <c r="F190" t="s">
        <v>11</v>
      </c>
      <c r="G190" t="str">
        <f>T("EAST HARTFORD")</f>
        <v>EAST HARTFORD</v>
      </c>
      <c r="H190" t="str">
        <f>T("CT ")</f>
        <v>CT </v>
      </c>
      <c r="I190" s="2" t="s">
        <v>16</v>
      </c>
      <c r="J190" s="1">
        <f>N(8602916741)</f>
        <v>8602916741</v>
      </c>
      <c r="K190" s="1">
        <f>N(8602916799)</f>
        <v>8602916799</v>
      </c>
    </row>
    <row r="191" spans="1:11" ht="12.75">
      <c r="A191" s="1" t="s">
        <v>22</v>
      </c>
      <c r="B191" t="str">
        <f>T("ILLINOIS DISTRICT")</f>
        <v>ILLINOIS DISTRICT</v>
      </c>
      <c r="C191" t="str">
        <f>T("221 NORTH BROADWAY AVE")</f>
        <v>221 NORTH BROADWAY AVE</v>
      </c>
      <c r="D191" t="str">
        <f>T("SUITE 101")</f>
        <v>SUITE 101</v>
      </c>
      <c r="E191" t="s">
        <v>11</v>
      </c>
      <c r="F191" t="s">
        <v>11</v>
      </c>
      <c r="G191" t="str">
        <f>T("URBANA")</f>
        <v>URBANA</v>
      </c>
      <c r="H191" t="str">
        <f>T("IL ")</f>
        <v>IL </v>
      </c>
      <c r="I191" s="1">
        <f>N(61801)</f>
        <v>61801</v>
      </c>
      <c r="J191" s="1">
        <f>N(2173440037)</f>
        <v>2173440037</v>
      </c>
      <c r="K191" s="1">
        <f>N(2173440082)</f>
        <v>2173440082</v>
      </c>
    </row>
    <row r="192" spans="1:11" ht="12.75">
      <c r="A192" s="1" t="s">
        <v>22</v>
      </c>
      <c r="B192" t="str">
        <f>T("INDIANA DISTRICT")</f>
        <v>INDIANA DISTRICT</v>
      </c>
      <c r="C192" t="str">
        <f>T("5957 LAKESIDE BLVD")</f>
        <v>5957 LAKESIDE BLVD</v>
      </c>
      <c r="D192" t="s">
        <v>11</v>
      </c>
      <c r="E192" t="s">
        <v>11</v>
      </c>
      <c r="F192" t="s">
        <v>11</v>
      </c>
      <c r="G192" t="str">
        <f>T("INDIANAPOLIS")</f>
        <v>INDIANAPOLIS</v>
      </c>
      <c r="H192" t="str">
        <f>T("IN ")</f>
        <v>IN </v>
      </c>
      <c r="I192" s="1">
        <f>N(46278)</f>
        <v>46278</v>
      </c>
      <c r="J192" s="1">
        <f>N(3172903333)</f>
        <v>3172903333</v>
      </c>
      <c r="K192" s="1">
        <f>N(3172903313)</f>
        <v>3172903313</v>
      </c>
    </row>
    <row r="193" spans="1:11" ht="12.75">
      <c r="A193" s="1" t="s">
        <v>22</v>
      </c>
      <c r="B193" t="str">
        <f>T("KENTUCKY DISTRICT")</f>
        <v>KENTUCKY DISTRICT</v>
      </c>
      <c r="C193" t="str">
        <f>T("9818 BLUEGRASS PARKWAY")</f>
        <v>9818 BLUEGRASS PARKWAY</v>
      </c>
      <c r="D193" t="s">
        <v>11</v>
      </c>
      <c r="E193" t="s">
        <v>11</v>
      </c>
      <c r="F193" t="s">
        <v>11</v>
      </c>
      <c r="G193" t="str">
        <f>T("LOUISVILLE")</f>
        <v>LOUISVILLE</v>
      </c>
      <c r="H193" t="str">
        <f>T("KY ")</f>
        <v>KY </v>
      </c>
      <c r="I193" s="1">
        <f>N(40299)</f>
        <v>40299</v>
      </c>
      <c r="J193" s="1">
        <f>N(5024931900)</f>
        <v>5024931900</v>
      </c>
      <c r="K193" s="1">
        <f>N(5024931909)</f>
        <v>5024931909</v>
      </c>
    </row>
    <row r="194" spans="1:11" ht="12.75">
      <c r="A194" s="1" t="s">
        <v>22</v>
      </c>
      <c r="B194" t="str">
        <f>T("MAINE DISTRICT")</f>
        <v>MAINE DISTRICT</v>
      </c>
      <c r="C194" t="str">
        <f>T("26 GANNESTON DRIVE")</f>
        <v>26 GANNESTON DRIVE</v>
      </c>
      <c r="D194" t="s">
        <v>11</v>
      </c>
      <c r="E194" t="s">
        <v>11</v>
      </c>
      <c r="F194" t="s">
        <v>11</v>
      </c>
      <c r="G194" t="str">
        <f>T("AUGUSTA")</f>
        <v>AUGUSTA</v>
      </c>
      <c r="H194" t="str">
        <f>T("ME ")</f>
        <v>ME </v>
      </c>
      <c r="I194" s="2" t="s">
        <v>17</v>
      </c>
      <c r="J194" s="1">
        <f>N(2076228201)</f>
        <v>2076228201</v>
      </c>
      <c r="K194" s="1">
        <f>N(2076228204)</f>
        <v>2076228204</v>
      </c>
    </row>
    <row r="195" spans="1:11" ht="12.75">
      <c r="A195" s="1" t="s">
        <v>22</v>
      </c>
      <c r="B195" t="str">
        <f>T("MARYLAND/DELAWARE/DC DISTRICT")</f>
        <v>MARYLAND/DELAWARE/DC DISTRICT</v>
      </c>
      <c r="C195" t="str">
        <f>T("8987 YELLOW BRICK ROAD")</f>
        <v>8987 YELLOW BRICK ROAD</v>
      </c>
      <c r="D195" t="s">
        <v>11</v>
      </c>
      <c r="E195" t="s">
        <v>11</v>
      </c>
      <c r="F195" t="s">
        <v>11</v>
      </c>
      <c r="G195" t="str">
        <f>T("BALTIMORE")</f>
        <v>BALTIMORE</v>
      </c>
      <c r="H195" t="str">
        <f>T("MD ")</f>
        <v>MD </v>
      </c>
      <c r="I195" s="1">
        <f>N(21237)</f>
        <v>21237</v>
      </c>
      <c r="J195" s="1">
        <f>N(4102384213)</f>
        <v>4102384213</v>
      </c>
      <c r="K195" s="1">
        <f>N(4102384210)</f>
        <v>4102384210</v>
      </c>
    </row>
    <row r="196" spans="1:11" ht="12.75">
      <c r="A196" s="1" t="s">
        <v>22</v>
      </c>
      <c r="B196" t="str">
        <f>T("MASSACHUSETTS DISTRICT")</f>
        <v>MASSACHUSETTS DISTRICT</v>
      </c>
      <c r="C196" t="str">
        <f>T("10 BEARFOOT RD")</f>
        <v>10 BEARFOOT RD</v>
      </c>
      <c r="D196" t="s">
        <v>11</v>
      </c>
      <c r="E196" t="s">
        <v>11</v>
      </c>
      <c r="F196" t="s">
        <v>11</v>
      </c>
      <c r="G196" t="str">
        <f>T("NORTHBOUROUGH")</f>
        <v>NORTHBOUROUGH</v>
      </c>
      <c r="H196" t="str">
        <f>T("MA ")</f>
        <v>MA </v>
      </c>
      <c r="I196" s="2" t="s">
        <v>18</v>
      </c>
      <c r="J196" s="1">
        <f>N(5084905000)</f>
        <v>5084905000</v>
      </c>
      <c r="K196" s="1">
        <f>N(5084905068)</f>
        <v>5084905068</v>
      </c>
    </row>
    <row r="197" spans="1:11" ht="12.75">
      <c r="A197" s="1" t="s">
        <v>22</v>
      </c>
      <c r="B197" t="str">
        <f>T("MICHIGAN DISTRICT")</f>
        <v>MICHIGAN DISTRICT</v>
      </c>
      <c r="C197" t="str">
        <f>T("6520 MERCANTILE WAY")</f>
        <v>6520 MERCANTILE WAY</v>
      </c>
      <c r="D197" t="str">
        <f>T("SUITE 5")</f>
        <v>SUITE 5</v>
      </c>
      <c r="E197" t="s">
        <v>11</v>
      </c>
      <c r="F197" t="s">
        <v>11</v>
      </c>
      <c r="G197" t="str">
        <f>T("LANSING")</f>
        <v>LANSING</v>
      </c>
      <c r="H197" t="str">
        <f>T("MI ")</f>
        <v>MI </v>
      </c>
      <c r="I197" s="1">
        <f>N(48911)</f>
        <v>48911</v>
      </c>
      <c r="J197" s="1">
        <f>N(5178878903)</f>
        <v>5178878903</v>
      </c>
      <c r="K197" s="1">
        <f>N(5178878937)</f>
        <v>5178878937</v>
      </c>
    </row>
    <row r="198" spans="1:11" ht="12.75">
      <c r="A198" s="1" t="s">
        <v>22</v>
      </c>
      <c r="B198" t="str">
        <f>T("NEW HAMPSHIRE/VERMONT DISTRICT")</f>
        <v>NEW HAMPSHIRE/VERMONT DISTRICT</v>
      </c>
      <c r="C198" t="str">
        <f>T("361 COMMERCE WAY")</f>
        <v>361 COMMERCE WAY</v>
      </c>
      <c r="D198" t="s">
        <v>11</v>
      </c>
      <c r="E198" t="s">
        <v>11</v>
      </c>
      <c r="F198" t="s">
        <v>11</v>
      </c>
      <c r="G198" t="str">
        <f>T("PEMBROKE")</f>
        <v>PEMBROKE</v>
      </c>
      <c r="H198" t="str">
        <f>T("NH ")</f>
        <v>NH </v>
      </c>
      <c r="I198" s="2" t="s">
        <v>19</v>
      </c>
      <c r="J198" s="1">
        <f>N(6032267800)</f>
        <v>6032267800</v>
      </c>
      <c r="K198" s="1">
        <f>N(6032267894)</f>
        <v>6032267894</v>
      </c>
    </row>
    <row r="199" spans="1:11" ht="12.75">
      <c r="A199" s="1" t="s">
        <v>22</v>
      </c>
      <c r="B199" t="str">
        <f>T("NEW JERSEY DISTRICT")</f>
        <v>NEW JERSEY DISTRICT</v>
      </c>
      <c r="C199" t="str">
        <f>T("810 BEAR TAVERN RD")</f>
        <v>810 BEAR TAVERN RD</v>
      </c>
      <c r="D199" t="str">
        <f>T("SUITE 206")</f>
        <v>SUITE 206</v>
      </c>
      <c r="E199" t="s">
        <v>11</v>
      </c>
      <c r="F199" t="s">
        <v>11</v>
      </c>
      <c r="G199" t="str">
        <f>T("WEST TRENTON")</f>
        <v>WEST TRENTON</v>
      </c>
      <c r="H199" t="str">
        <f>T("NJ ")</f>
        <v>NJ </v>
      </c>
      <c r="I199" s="2" t="s">
        <v>20</v>
      </c>
      <c r="J199" s="1">
        <f>N(6097713900)</f>
        <v>6097713900</v>
      </c>
      <c r="K199" s="1">
        <f>N(6097713915)</f>
        <v>6097713915</v>
      </c>
    </row>
    <row r="200" spans="1:11" ht="12.75">
      <c r="A200" s="1" t="s">
        <v>22</v>
      </c>
      <c r="B200" t="str">
        <f>T("NEW YORK DISTRICT")</f>
        <v>NEW YORK DISTRICT</v>
      </c>
      <c r="C200" t="str">
        <f>T("425 JORDAN RD")</f>
        <v>425 JORDAN RD</v>
      </c>
      <c r="D200" t="s">
        <v>11</v>
      </c>
      <c r="E200" t="s">
        <v>11</v>
      </c>
      <c r="F200" t="s">
        <v>11</v>
      </c>
      <c r="G200" t="str">
        <f>T("TROY")</f>
        <v>TROY</v>
      </c>
      <c r="H200" t="str">
        <f>T("NY ")</f>
        <v>NY </v>
      </c>
      <c r="I200" s="1">
        <f>N(12180)</f>
        <v>12180</v>
      </c>
      <c r="J200" s="1">
        <f>N(5182855600)</f>
        <v>5182855600</v>
      </c>
      <c r="K200" s="1">
        <f>N(5182855601)</f>
        <v>5182855601</v>
      </c>
    </row>
    <row r="201" spans="1:11" ht="12.75">
      <c r="A201" s="1" t="s">
        <v>22</v>
      </c>
      <c r="B201" t="str">
        <f>T("OHIO DISTRICT")</f>
        <v>OHIO DISTRICT</v>
      </c>
      <c r="C201" t="str">
        <f>T("6480 DOUBLETREE AVE")</f>
        <v>6480 DOUBLETREE AVE</v>
      </c>
      <c r="D201" t="s">
        <v>11</v>
      </c>
      <c r="E201" t="s">
        <v>11</v>
      </c>
      <c r="F201" t="s">
        <v>11</v>
      </c>
      <c r="G201" t="str">
        <f>T("COLUMBUS")</f>
        <v>COLUMBUS</v>
      </c>
      <c r="H201" t="str">
        <f>T("OH ")</f>
        <v>OH </v>
      </c>
      <c r="I201" s="1">
        <f>N(43229)</f>
        <v>43229</v>
      </c>
      <c r="J201" s="1">
        <f>N(6144307700)</f>
        <v>6144307700</v>
      </c>
      <c r="K201" s="1">
        <f>N(6144307777)</f>
        <v>6144307777</v>
      </c>
    </row>
    <row r="202" spans="1:11" ht="12.75">
      <c r="A202" s="1" t="s">
        <v>22</v>
      </c>
      <c r="B202" t="str">
        <f>T("PENNSYLVANIA DISTRICT")</f>
        <v>PENNSYLVANIA DISTRICT</v>
      </c>
      <c r="C202" t="str">
        <f>T("215 LIMEKILN RD")</f>
        <v>215 LIMEKILN RD</v>
      </c>
      <c r="D202" t="s">
        <v>11</v>
      </c>
      <c r="E202" t="s">
        <v>11</v>
      </c>
      <c r="F202" t="s">
        <v>11</v>
      </c>
      <c r="G202" t="str">
        <f>T("NEW CUMBERLAND")</f>
        <v>NEW CUMBERLAND</v>
      </c>
      <c r="H202" t="str">
        <f>T("PA ")</f>
        <v>PA </v>
      </c>
      <c r="I202" s="1">
        <f>N(17070)</f>
        <v>17070</v>
      </c>
      <c r="J202" s="1">
        <f>N(7177306900)</f>
        <v>7177306900</v>
      </c>
      <c r="K202" s="1">
        <f>N(7177306997)</f>
        <v>7177306997</v>
      </c>
    </row>
    <row r="203" spans="1:11" ht="12.75">
      <c r="A203" s="1" t="s">
        <v>22</v>
      </c>
      <c r="B203" t="str">
        <f>T("VIRGINIA DISTRICT")</f>
        <v>VIRGINIA DISTRICT</v>
      </c>
      <c r="C203" t="str">
        <f>T("1730 EAST PARHAM RD")</f>
        <v>1730 EAST PARHAM RD</v>
      </c>
      <c r="D203" t="s">
        <v>11</v>
      </c>
      <c r="E203" t="s">
        <v>11</v>
      </c>
      <c r="F203" t="s">
        <v>11</v>
      </c>
      <c r="G203" t="str">
        <f>T("RICHMOND")</f>
        <v>RICHMOND</v>
      </c>
      <c r="H203" t="str">
        <f>T("VA ")</f>
        <v>VA </v>
      </c>
      <c r="I203" s="1">
        <f>N(23228)</f>
        <v>23228</v>
      </c>
      <c r="J203" s="1">
        <f>N(8042612600)</f>
        <v>8042612600</v>
      </c>
      <c r="K203" s="1">
        <f>N(8042612659)</f>
        <v>8042612659</v>
      </c>
    </row>
    <row r="204" spans="1:11" ht="12.75">
      <c r="A204" s="1" t="s">
        <v>22</v>
      </c>
      <c r="B204" t="str">
        <f>T("WEST VIRGINIA DISTRICT")</f>
        <v>WEST VIRGINIA DISTRICT</v>
      </c>
      <c r="C204" t="str">
        <f>T("11 DUNBAR ST")</f>
        <v>11 DUNBAR ST</v>
      </c>
      <c r="D204" t="s">
        <v>11</v>
      </c>
      <c r="E204" t="s">
        <v>11</v>
      </c>
      <c r="F204" t="s">
        <v>11</v>
      </c>
      <c r="G204" t="str">
        <f>T("CHARLESTON")</f>
        <v>CHARLESTON</v>
      </c>
      <c r="H204" t="str">
        <f>T("WV ")</f>
        <v>WV </v>
      </c>
      <c r="I204" s="1">
        <f>N(25301)</f>
        <v>25301</v>
      </c>
      <c r="J204" s="1">
        <f>N(3043475130)</f>
        <v>3043475130</v>
      </c>
      <c r="K204" s="1">
        <f>N(3043475133)</f>
        <v>3043475133</v>
      </c>
    </row>
    <row r="205" spans="1:11" ht="12.75">
      <c r="A205" s="1" t="s">
        <v>22</v>
      </c>
      <c r="B205" t="str">
        <f>T("WISCONSIN DISTRICT")</f>
        <v>WISCONSIN DISTRICT</v>
      </c>
      <c r="C205" t="str">
        <f>T("8505 RESEARCH WAY")</f>
        <v>8505 RESEARCH WAY</v>
      </c>
      <c r="D205" t="s">
        <v>11</v>
      </c>
      <c r="E205" t="s">
        <v>11</v>
      </c>
      <c r="F205" t="s">
        <v>11</v>
      </c>
      <c r="G205" t="str">
        <f>T("MIDDLETON")</f>
        <v>MIDDLETON</v>
      </c>
      <c r="H205" t="str">
        <f>T("WI ")</f>
        <v>WI </v>
      </c>
      <c r="I205" s="1">
        <f>N(53562)</f>
        <v>53562</v>
      </c>
      <c r="J205" s="1">
        <f>N(6088289901)</f>
        <v>6088289901</v>
      </c>
      <c r="K205" s="1">
        <f>N(6088213817)</f>
        <v>6088213817</v>
      </c>
    </row>
    <row r="206" spans="1:11" ht="12.75">
      <c r="A206" s="1" t="s">
        <v>22</v>
      </c>
      <c r="B206" t="str">
        <f>T("CR-REX HYDROLOGY")</f>
        <v>CR-REX HYDROLOGY</v>
      </c>
      <c r="C206" t="str">
        <f>T("BOX 25046 DFC MS 406")</f>
        <v>BOX 25046 DFC MS 406</v>
      </c>
      <c r="D206" t="s">
        <v>11</v>
      </c>
      <c r="E206" t="s">
        <v>11</v>
      </c>
      <c r="F206" t="s">
        <v>11</v>
      </c>
      <c r="G206" t="str">
        <f>T("DENVER")</f>
        <v>DENVER</v>
      </c>
      <c r="H206" t="str">
        <f>T("CO ")</f>
        <v>CO </v>
      </c>
      <c r="I206" s="1">
        <f>N(80225)</f>
        <v>80225</v>
      </c>
      <c r="J206" s="1">
        <f>N(3032365950)</f>
        <v>3032365950</v>
      </c>
      <c r="K206" s="1">
        <f>N(3032365919)</f>
        <v>3032365919</v>
      </c>
    </row>
    <row r="207" spans="1:11" ht="12.75">
      <c r="A207" s="1" t="s">
        <v>22</v>
      </c>
      <c r="B207" t="str">
        <f>T("ARKANSAS DISTRICT")</f>
        <v>ARKANSAS DISTRICT</v>
      </c>
      <c r="C207" t="str">
        <f>T("401 HARDIN RD")</f>
        <v>401 HARDIN RD</v>
      </c>
      <c r="D207" t="s">
        <v>11</v>
      </c>
      <c r="E207" t="s">
        <v>11</v>
      </c>
      <c r="F207" t="s">
        <v>11</v>
      </c>
      <c r="G207" t="str">
        <f>T("LITTLE ROCK")</f>
        <v>LITTLE ROCK</v>
      </c>
      <c r="H207" t="str">
        <f>T("AR ")</f>
        <v>AR </v>
      </c>
      <c r="I207" s="1">
        <f>N(72211)</f>
        <v>72211</v>
      </c>
      <c r="J207" s="1">
        <f>N(5012283600)</f>
        <v>5012283600</v>
      </c>
      <c r="K207" s="1">
        <f>N(5012283601)</f>
        <v>5012283601</v>
      </c>
    </row>
    <row r="208" spans="1:11" ht="12.75">
      <c r="A208" s="1" t="s">
        <v>22</v>
      </c>
      <c r="B208" t="str">
        <f>T("COLORADO DISTRICT")</f>
        <v>COLORADO DISTRICT</v>
      </c>
      <c r="C208" t="str">
        <f>T("BOX 25046 MS 415 BLDG 53")</f>
        <v>BOX 25046 MS 415 BLDG 53</v>
      </c>
      <c r="D208" t="str">
        <f>T("DENVER FEDERAL CENTER")</f>
        <v>DENVER FEDERAL CENTER</v>
      </c>
      <c r="E208" t="s">
        <v>11</v>
      </c>
      <c r="F208" t="s">
        <v>11</v>
      </c>
      <c r="G208" t="str">
        <f>T("DENVER")</f>
        <v>DENVER</v>
      </c>
      <c r="H208" t="str">
        <f>T("CO ")</f>
        <v>CO </v>
      </c>
      <c r="I208" s="1">
        <f>N(80225)</f>
        <v>80225</v>
      </c>
      <c r="J208" s="1">
        <f>N(3032364882)</f>
        <v>3032364882</v>
      </c>
      <c r="K208" s="1">
        <f>N(3032364912)</f>
        <v>3032364912</v>
      </c>
    </row>
    <row r="209" spans="1:11" ht="12.75">
      <c r="A209" s="1" t="s">
        <v>22</v>
      </c>
      <c r="B209" t="str">
        <f>T("IOWA DISTRICT")</f>
        <v>IOWA DISTRICT</v>
      </c>
      <c r="C209" t="str">
        <f>T("400 SOUTH CLINTON ST")</f>
        <v>400 SOUTH CLINTON ST</v>
      </c>
      <c r="D209" t="str">
        <f>T("FEDERAL BLDG RM 269")</f>
        <v>FEDERAL BLDG RM 269</v>
      </c>
      <c r="E209" t="s">
        <v>11</v>
      </c>
      <c r="F209" t="s">
        <v>11</v>
      </c>
      <c r="G209" t="str">
        <f>T("IOWA CITY")</f>
        <v>IOWA CITY</v>
      </c>
      <c r="H209" t="str">
        <f>T("IA ")</f>
        <v>IA </v>
      </c>
      <c r="I209" s="1">
        <f>N(52240)</f>
        <v>52240</v>
      </c>
      <c r="J209" s="1">
        <f>N(3193374191)</f>
        <v>3193374191</v>
      </c>
      <c r="K209" s="1">
        <f>N(3193583606)</f>
        <v>3193583606</v>
      </c>
    </row>
    <row r="210" spans="1:11" ht="12.75">
      <c r="A210" s="1" t="s">
        <v>22</v>
      </c>
      <c r="B210" t="str">
        <f>T("KANSAS DISTRICT")</f>
        <v>KANSAS DISTRICT</v>
      </c>
      <c r="C210" t="str">
        <f>T("4821 QUAIL CREST PLACE")</f>
        <v>4821 QUAIL CREST PLACE</v>
      </c>
      <c r="D210" t="s">
        <v>11</v>
      </c>
      <c r="E210" t="s">
        <v>11</v>
      </c>
      <c r="F210" t="s">
        <v>11</v>
      </c>
      <c r="G210" t="str">
        <f>T("LAWRENCE")</f>
        <v>LAWRENCE</v>
      </c>
      <c r="H210" t="str">
        <f>T("KS ")</f>
        <v>KS </v>
      </c>
      <c r="I210" s="1">
        <f>N(66049)</f>
        <v>66049</v>
      </c>
      <c r="J210" s="1">
        <f>N(7858429909)</f>
        <v>7858429909</v>
      </c>
      <c r="K210" s="1">
        <f>N(7858323500)</f>
        <v>7858323500</v>
      </c>
    </row>
    <row r="211" spans="1:11" ht="12.75">
      <c r="A211" s="1" t="s">
        <v>22</v>
      </c>
      <c r="B211" t="str">
        <f>T("LOUISIANA DISTRICT")</f>
        <v>LOUISIANA DISTRICT</v>
      </c>
      <c r="C211" t="str">
        <f>T("3535 S. SHERWOOD FOREST BLVD")</f>
        <v>3535 S. SHERWOOD FOREST BLVD</v>
      </c>
      <c r="D211" t="str">
        <f>T("SUITE 120")</f>
        <v>SUITE 120</v>
      </c>
      <c r="E211" t="s">
        <v>11</v>
      </c>
      <c r="F211" t="s">
        <v>11</v>
      </c>
      <c r="G211" t="str">
        <f>T("BATON ROUGE")</f>
        <v>BATON ROUGE</v>
      </c>
      <c r="H211" t="str">
        <f>T("LA ")</f>
        <v>LA </v>
      </c>
      <c r="I211" s="1">
        <f>N(70816)</f>
        <v>70816</v>
      </c>
      <c r="J211" s="1">
        <f>N(2253890281)</f>
        <v>2253890281</v>
      </c>
      <c r="K211" s="1">
        <f>N(2253890706)</f>
        <v>2253890706</v>
      </c>
    </row>
    <row r="212" spans="1:11" ht="12.75">
      <c r="A212" s="1" t="s">
        <v>22</v>
      </c>
      <c r="B212" t="str">
        <f>T("MINNESOTA DISTRICT")</f>
        <v>MINNESOTA DISTRICT</v>
      </c>
      <c r="C212" t="str">
        <f>T("2280 WOODALE DRIVE")</f>
        <v>2280 WOODALE DRIVE</v>
      </c>
      <c r="D212" t="s">
        <v>11</v>
      </c>
      <c r="E212" t="s">
        <v>11</v>
      </c>
      <c r="F212" t="s">
        <v>11</v>
      </c>
      <c r="G212" t="str">
        <f>T("MOUNDS VIEW")</f>
        <v>MOUNDS VIEW</v>
      </c>
      <c r="H212" t="str">
        <f>T("MN ")</f>
        <v>MN </v>
      </c>
      <c r="I212" s="1">
        <f>N(55112)</f>
        <v>55112</v>
      </c>
      <c r="J212" s="1">
        <f>N(7637833100)</f>
        <v>7637833100</v>
      </c>
      <c r="K212" s="1">
        <f>N(7637833103)</f>
        <v>7637833103</v>
      </c>
    </row>
    <row r="213" spans="1:11" ht="12.75">
      <c r="A213" s="1" t="s">
        <v>22</v>
      </c>
      <c r="B213" t="str">
        <f>T("MISSOURI DISTRICT")</f>
        <v>MISSOURI DISTRICT</v>
      </c>
      <c r="C213" t="str">
        <f>T("1400  INDEPENDENCE RD")</f>
        <v>1400  INDEPENDENCE RD</v>
      </c>
      <c r="D213" t="str">
        <f>T("MS100")</f>
        <v>MS100</v>
      </c>
      <c r="E213" t="s">
        <v>11</v>
      </c>
      <c r="F213" t="s">
        <v>11</v>
      </c>
      <c r="G213" t="str">
        <f>T("ROLLA")</f>
        <v>ROLLA</v>
      </c>
      <c r="H213" t="str">
        <f>T("MO ")</f>
        <v>MO </v>
      </c>
      <c r="I213" s="1">
        <f>N(65401)</f>
        <v>65401</v>
      </c>
      <c r="J213" s="1">
        <f>N(5733083664)</f>
        <v>5733083664</v>
      </c>
      <c r="K213" s="1">
        <f>N(5733083645)</f>
        <v>5733083645</v>
      </c>
    </row>
    <row r="214" spans="1:11" ht="12.75">
      <c r="A214" s="1" t="s">
        <v>22</v>
      </c>
      <c r="B214" t="str">
        <f>T("MONTANA DISTRICT")</f>
        <v>MONTANA DISTRICT</v>
      </c>
      <c r="C214" t="str">
        <f>T("3162 BOZEMAN AVE")</f>
        <v>3162 BOZEMAN AVE</v>
      </c>
      <c r="D214" t="s">
        <v>11</v>
      </c>
      <c r="E214" t="s">
        <v>11</v>
      </c>
      <c r="F214" t="s">
        <v>11</v>
      </c>
      <c r="G214" t="str">
        <f>T("HELENA")</f>
        <v>HELENA</v>
      </c>
      <c r="H214" t="str">
        <f>T("MT ")</f>
        <v>MT </v>
      </c>
      <c r="I214" s="1">
        <f>N(59601)</f>
        <v>59601</v>
      </c>
      <c r="J214" s="1">
        <f>N(4064575900)</f>
        <v>4064575900</v>
      </c>
      <c r="K214" s="1">
        <f>N(4064575990)</f>
        <v>4064575990</v>
      </c>
    </row>
    <row r="215" spans="1:11" ht="12.75">
      <c r="A215" s="1" t="s">
        <v>22</v>
      </c>
      <c r="B215" t="str">
        <f>T("NEBRASKA DISTRICT")</f>
        <v>NEBRASKA DISTRICT</v>
      </c>
      <c r="C215" t="str">
        <f>T("RM 406 FEDERAL BLDG")</f>
        <v>RM 406 FEDERAL BLDG</v>
      </c>
      <c r="D215" t="str">
        <f>T("100 CENTENNIAL MALL NORTH")</f>
        <v>100 CENTENNIAL MALL NORTH</v>
      </c>
      <c r="E215" t="s">
        <v>11</v>
      </c>
      <c r="F215" t="s">
        <v>11</v>
      </c>
      <c r="G215" t="str">
        <f>T("LINCOLN")</f>
        <v>LINCOLN</v>
      </c>
      <c r="H215" t="str">
        <f>T("NE ")</f>
        <v>NE </v>
      </c>
      <c r="I215" s="1">
        <f>N(68508)</f>
        <v>68508</v>
      </c>
      <c r="J215" s="1">
        <f>N(4024375082)</f>
        <v>4024375082</v>
      </c>
      <c r="K215" s="1">
        <f>N(4024375139)</f>
        <v>4024375139</v>
      </c>
    </row>
    <row r="216" spans="1:11" ht="12.75">
      <c r="A216" s="1" t="s">
        <v>22</v>
      </c>
      <c r="B216" t="str">
        <f>T("NEW MEXICO DISTRICT")</f>
        <v>NEW MEXICO DISTRICT</v>
      </c>
      <c r="C216" t="str">
        <f>T("5338 MONTGOMERY BLVD NE")</f>
        <v>5338 MONTGOMERY BLVD NE</v>
      </c>
      <c r="D216" t="str">
        <f>T("SUITE 400/300")</f>
        <v>SUITE 400/300</v>
      </c>
      <c r="E216" t="s">
        <v>11</v>
      </c>
      <c r="F216" t="s">
        <v>11</v>
      </c>
      <c r="G216" t="str">
        <f>T("ALBUQUERQUE")</f>
        <v>ALBUQUERQUE</v>
      </c>
      <c r="H216" t="str">
        <f>T("NM ")</f>
        <v>NM </v>
      </c>
      <c r="I216" s="1">
        <f>N(87109)</f>
        <v>87109</v>
      </c>
      <c r="J216" s="1">
        <f>N(5058307900)</f>
        <v>5058307900</v>
      </c>
      <c r="K216" s="1">
        <f>N(5058307998)</f>
        <v>5058307998</v>
      </c>
    </row>
    <row r="217" spans="1:11" ht="12.75">
      <c r="A217" s="1" t="s">
        <v>22</v>
      </c>
      <c r="B217" t="str">
        <f>T("NORTH DAKOTA DISTRICT")</f>
        <v>NORTH DAKOTA DISTRICT</v>
      </c>
      <c r="C217" t="str">
        <f>T("821 E. INTERSTATE AVE")</f>
        <v>821 E. INTERSTATE AVE</v>
      </c>
      <c r="D217" t="s">
        <v>11</v>
      </c>
      <c r="E217" t="s">
        <v>11</v>
      </c>
      <c r="F217" t="s">
        <v>11</v>
      </c>
      <c r="G217" t="str">
        <f>T("BISMARCK")</f>
        <v>BISMARCK</v>
      </c>
      <c r="H217" t="str">
        <f>T("ND ")</f>
        <v>ND </v>
      </c>
      <c r="I217" s="1">
        <f>N(58503)</f>
        <v>58503</v>
      </c>
      <c r="J217" s="1">
        <f>N(7012507400)</f>
        <v>7012507400</v>
      </c>
      <c r="K217" s="1">
        <f>N(7012507492)</f>
        <v>7012507492</v>
      </c>
    </row>
    <row r="218" spans="1:11" ht="12.75">
      <c r="A218" s="1" t="s">
        <v>22</v>
      </c>
      <c r="B218" t="str">
        <f>T("OKLAHOMA DISTRICT")</f>
        <v>OKLAHOMA DISTRICT</v>
      </c>
      <c r="C218" t="str">
        <f>T("202 NW 66TH ST BLDG 7")</f>
        <v>202 NW 66TH ST BLDG 7</v>
      </c>
      <c r="D218" t="s">
        <v>11</v>
      </c>
      <c r="E218" t="s">
        <v>11</v>
      </c>
      <c r="F218" t="s">
        <v>11</v>
      </c>
      <c r="G218" t="str">
        <f>T("OKLAHOMA CITY")</f>
        <v>OKLAHOMA CITY</v>
      </c>
      <c r="H218" t="str">
        <f>T("OK ")</f>
        <v>OK </v>
      </c>
      <c r="I218" s="1">
        <f>N(73116)</f>
        <v>73116</v>
      </c>
      <c r="J218" s="1">
        <f>N(4058104400)</f>
        <v>4058104400</v>
      </c>
      <c r="K218" s="1">
        <f>N(4058437712)</f>
        <v>4058437712</v>
      </c>
    </row>
    <row r="219" spans="1:11" ht="12.75">
      <c r="A219" s="1" t="s">
        <v>22</v>
      </c>
      <c r="B219" t="str">
        <f>T("SOUTH DAKOTA DISTRICT")</f>
        <v>SOUTH DAKOTA DISTRICT</v>
      </c>
      <c r="C219" t="str">
        <f>T("1608 MT. VIEW RD")</f>
        <v>1608 MT. VIEW RD</v>
      </c>
      <c r="D219" t="s">
        <v>11</v>
      </c>
      <c r="E219" t="s">
        <v>11</v>
      </c>
      <c r="F219" t="s">
        <v>11</v>
      </c>
      <c r="G219" t="str">
        <f>T("RAPID CITY")</f>
        <v>RAPID CITY</v>
      </c>
      <c r="H219" t="str">
        <f>T("SD ")</f>
        <v>SD </v>
      </c>
      <c r="I219" s="1">
        <f>N(57702)</f>
        <v>57702</v>
      </c>
      <c r="J219" s="1">
        <f>N(6053554560)</f>
        <v>6053554560</v>
      </c>
      <c r="K219" s="1">
        <f>N(6053554523)</f>
        <v>6053554523</v>
      </c>
    </row>
    <row r="220" spans="1:11" ht="12.75">
      <c r="A220" s="1" t="s">
        <v>22</v>
      </c>
      <c r="B220" t="str">
        <f>T("TEXAS DISTRICT")</f>
        <v>TEXAS DISTRICT</v>
      </c>
      <c r="C220" t="str">
        <f>T("8027 EXCHANGE DR")</f>
        <v>8027 EXCHANGE DR</v>
      </c>
      <c r="D220" t="s">
        <v>11</v>
      </c>
      <c r="E220" t="s">
        <v>11</v>
      </c>
      <c r="F220" t="s">
        <v>11</v>
      </c>
      <c r="G220" t="str">
        <f>T("AUSTIN")</f>
        <v>AUSTIN</v>
      </c>
      <c r="H220" t="str">
        <f>T("TX ")</f>
        <v>TX </v>
      </c>
      <c r="I220" s="1">
        <f>N(78754)</f>
        <v>78754</v>
      </c>
      <c r="J220" s="1">
        <f>N(5129273500)</f>
        <v>5129273500</v>
      </c>
      <c r="K220" s="1">
        <f>N(5129273590)</f>
        <v>5129273590</v>
      </c>
    </row>
    <row r="221" spans="1:11" ht="12.75">
      <c r="A221" s="1" t="s">
        <v>22</v>
      </c>
      <c r="B221" t="str">
        <f>T("WYOMING DISTRICT")</f>
        <v>WYOMING DISTRICT</v>
      </c>
      <c r="C221" t="str">
        <f>T("2617 E. LINCOLNWAY")</f>
        <v>2617 E. LINCOLNWAY</v>
      </c>
      <c r="D221" t="str">
        <f>T("SUITE B")</f>
        <v>SUITE B</v>
      </c>
      <c r="E221" t="s">
        <v>11</v>
      </c>
      <c r="F221" t="s">
        <v>11</v>
      </c>
      <c r="G221" t="str">
        <f>T("CHEYENNE")</f>
        <v>CHEYENNE</v>
      </c>
      <c r="H221" t="str">
        <f>T("WY ")</f>
        <v>WY </v>
      </c>
      <c r="I221" s="1">
        <f>N(82001)</f>
        <v>82001</v>
      </c>
      <c r="J221" s="1">
        <f>N(3077782931)</f>
        <v>3077782931</v>
      </c>
      <c r="K221" s="1">
        <f>N(3077782764)</f>
        <v>3077782764</v>
      </c>
    </row>
    <row r="222" spans="1:11" ht="12.75">
      <c r="A222" s="1" t="s">
        <v>22</v>
      </c>
      <c r="B222" t="str">
        <f>T("OWQ-NATL WATER QUAL LAB-(HQ)")</f>
        <v>OWQ-NATL WATER QUAL LAB-(HQ)</v>
      </c>
      <c r="C222" t="str">
        <f>T("BOX 25046 DFC MS 402")</f>
        <v>BOX 25046 DFC MS 402</v>
      </c>
      <c r="D222" t="s">
        <v>11</v>
      </c>
      <c r="E222" t="s">
        <v>11</v>
      </c>
      <c r="F222" t="s">
        <v>11</v>
      </c>
      <c r="G222" t="str">
        <f>T("DENVER")</f>
        <v>DENVER</v>
      </c>
      <c r="H222" t="str">
        <f>T("CO ")</f>
        <v>CO </v>
      </c>
      <c r="I222" s="1">
        <f>N(80225)</f>
        <v>80225</v>
      </c>
      <c r="J222" s="1">
        <f>N(3032363541)</f>
        <v>3032363541</v>
      </c>
      <c r="K222" s="1">
        <f>N(3032363499)</f>
        <v>3032363499</v>
      </c>
    </row>
    <row r="223" spans="1:11" ht="12.75">
      <c r="A223" s="1" t="s">
        <v>22</v>
      </c>
      <c r="B223" t="str">
        <f>T("MID-CONTINENT MAPPING CENTER")</f>
        <v>MID-CONTINENT MAPPING CENTER</v>
      </c>
      <c r="C223" t="str">
        <f>T("1400 INDEPENDENCE RD  MS 701 ")</f>
        <v>1400 INDEPENDENCE RD  MS 701 </v>
      </c>
      <c r="D223" t="s">
        <v>11</v>
      </c>
      <c r="E223" t="s">
        <v>11</v>
      </c>
      <c r="F223" t="s">
        <v>11</v>
      </c>
      <c r="G223" t="str">
        <f>T("ROLLA")</f>
        <v>ROLLA</v>
      </c>
      <c r="H223" t="str">
        <f>T("MO ")</f>
        <v>MO </v>
      </c>
      <c r="I223" s="1">
        <f>N(65401)</f>
        <v>65401</v>
      </c>
      <c r="J223" s="1">
        <f>N(5733083685)</f>
        <v>5733083685</v>
      </c>
      <c r="K223" s="1">
        <f>N(5733083652)</f>
        <v>5733083652</v>
      </c>
    </row>
    <row r="224" spans="1:11" ht="12.75">
      <c r="A224" s="1" t="s">
        <v>22</v>
      </c>
      <c r="B224" t="str">
        <f>T("ROCKY MOUNTAIN GEOGR SCI CENT")</f>
        <v>ROCKY MOUNTAIN GEOGR SCI CENT</v>
      </c>
      <c r="C224" t="str">
        <f>T("BOX 25046 DFC MS 508")</f>
        <v>BOX 25046 DFC MS 508</v>
      </c>
      <c r="D224" t="s">
        <v>11</v>
      </c>
      <c r="E224" t="s">
        <v>11</v>
      </c>
      <c r="F224" t="s">
        <v>11</v>
      </c>
      <c r="G224" t="str">
        <f>T("DENVER")</f>
        <v>DENVER</v>
      </c>
      <c r="H224" t="str">
        <f>T("CO ")</f>
        <v>CO </v>
      </c>
      <c r="I224" s="1">
        <f>N(80225)</f>
        <v>80225</v>
      </c>
      <c r="J224" s="1">
        <f>N(3032364009)</f>
        <v>3032364009</v>
      </c>
      <c r="K224" s="1">
        <f>N(3032364020)</f>
        <v>3032364020</v>
      </c>
    </row>
    <row r="225" spans="1:11" ht="12.75">
      <c r="A225" s="1" t="s">
        <v>22</v>
      </c>
      <c r="B225" t="str">
        <f>T("SCIENCE LEADERSHIP OFFICE")</f>
        <v>SCIENCE LEADERSHIP OFFICE</v>
      </c>
      <c r="C225" t="str">
        <f>T("P O BOX 173492 MONTANA STATE UNIV")</f>
        <v>P O BOX 173492 MONTANA STATE UNIV</v>
      </c>
      <c r="D225" t="s">
        <v>11</v>
      </c>
      <c r="E225" t="s">
        <v>11</v>
      </c>
      <c r="F225" t="s">
        <v>11</v>
      </c>
      <c r="G225" t="str">
        <f>T("BOZEMAN")</f>
        <v>BOZEMAN</v>
      </c>
      <c r="H225" t="str">
        <f>T("MT ")</f>
        <v>MT </v>
      </c>
      <c r="I225" s="1">
        <f>N(59717)</f>
        <v>59717</v>
      </c>
      <c r="J225" s="1">
        <f>N(4069946919)</f>
        <v>4069946919</v>
      </c>
      <c r="K225" s="1">
        <f>N(4069946556)</f>
        <v>4069946556</v>
      </c>
    </row>
    <row r="226" spans="1:11" ht="12.75">
      <c r="A226" s="1" t="s">
        <v>22</v>
      </c>
      <c r="B226" t="str">
        <f>T("GEOGRAPHIC TECHNOLOGY&amp;APP TEAM")</f>
        <v>GEOGRAPHIC TECHNOLOGY&amp;APP TEAM</v>
      </c>
      <c r="C226" t="str">
        <f>T("BOX 25046 DFC MS 510")</f>
        <v>BOX 25046 DFC MS 510</v>
      </c>
      <c r="D226" t="s">
        <v>11</v>
      </c>
      <c r="E226" t="s">
        <v>11</v>
      </c>
      <c r="F226" t="s">
        <v>11</v>
      </c>
      <c r="G226" t="str">
        <f aca="true" t="shared" si="9" ref="G226:G233">T("DENVER")</f>
        <v>DENVER</v>
      </c>
      <c r="H226" t="str">
        <f aca="true" t="shared" si="10" ref="H226:H233">T("CO ")</f>
        <v>CO </v>
      </c>
      <c r="I226" s="1">
        <f aca="true" t="shared" si="11" ref="I226:I233">N(80225)</f>
        <v>80225</v>
      </c>
      <c r="J226" s="1">
        <f>N(3032024128)</f>
        <v>3032024128</v>
      </c>
      <c r="K226" s="1">
        <f>N(3032024137)</f>
        <v>3032024137</v>
      </c>
    </row>
    <row r="227" spans="1:11" ht="12.75">
      <c r="A227" s="1" t="s">
        <v>22</v>
      </c>
      <c r="B227" t="str">
        <f>T("SCIENCE SUPPORT TEAM")</f>
        <v>SCIENCE SUPPORT TEAM</v>
      </c>
      <c r="C227" t="str">
        <f>T("BOX 25046 DFC MS 508")</f>
        <v>BOX 25046 DFC MS 508</v>
      </c>
      <c r="D227" t="s">
        <v>11</v>
      </c>
      <c r="E227" t="s">
        <v>11</v>
      </c>
      <c r="F227" t="s">
        <v>11</v>
      </c>
      <c r="G227" t="str">
        <f t="shared" si="9"/>
        <v>DENVER</v>
      </c>
      <c r="H227" t="str">
        <f t="shared" si="10"/>
        <v>CO </v>
      </c>
      <c r="I227" s="1">
        <f t="shared" si="11"/>
        <v>80225</v>
      </c>
      <c r="J227" s="1">
        <f>N(3032364009)</f>
        <v>3032364009</v>
      </c>
      <c r="K227" s="1">
        <f>N(3032364020)</f>
        <v>3032364020</v>
      </c>
    </row>
    <row r="228" spans="1:11" ht="12.75">
      <c r="A228" s="1" t="s">
        <v>22</v>
      </c>
      <c r="B228" t="str">
        <f>T("GEOGRAPHIC RESEARCH&amp;MODELING T")</f>
        <v>GEOGRAPHIC RESEARCH&amp;MODELING T</v>
      </c>
      <c r="C228" t="str">
        <f>T("BOX 25046 DFC MS 508")</f>
        <v>BOX 25046 DFC MS 508</v>
      </c>
      <c r="D228" t="s">
        <v>11</v>
      </c>
      <c r="E228" t="s">
        <v>11</v>
      </c>
      <c r="F228" t="s">
        <v>11</v>
      </c>
      <c r="G228" t="str">
        <f t="shared" si="9"/>
        <v>DENVER</v>
      </c>
      <c r="H228" t="str">
        <f t="shared" si="10"/>
        <v>CO </v>
      </c>
      <c r="I228" s="1">
        <f t="shared" si="11"/>
        <v>80225</v>
      </c>
      <c r="J228" s="1">
        <f>N(3032364009)</f>
        <v>3032364009</v>
      </c>
      <c r="K228" s="1">
        <f>N(3032364020)</f>
        <v>3032364020</v>
      </c>
    </row>
    <row r="229" spans="1:11" ht="12.75">
      <c r="A229" s="1" t="s">
        <v>22</v>
      </c>
      <c r="B229" t="str">
        <f>T("CR-REX GEOLOGY")</f>
        <v>CR-REX GEOLOGY</v>
      </c>
      <c r="C229" t="str">
        <f>T("BOX 25046 DFC MS 915")</f>
        <v>BOX 25046 DFC MS 915</v>
      </c>
      <c r="D229" t="s">
        <v>11</v>
      </c>
      <c r="E229" t="s">
        <v>11</v>
      </c>
      <c r="F229" t="s">
        <v>11</v>
      </c>
      <c r="G229" t="str">
        <f t="shared" si="9"/>
        <v>DENVER</v>
      </c>
      <c r="H229" t="str">
        <f t="shared" si="10"/>
        <v>CO </v>
      </c>
      <c r="I229" s="1">
        <f t="shared" si="11"/>
        <v>80225</v>
      </c>
      <c r="J229" s="1">
        <f>N(3032024836)</f>
        <v>3032024836</v>
      </c>
      <c r="K229" s="1">
        <f>N(3032025348)</f>
        <v>3032025348</v>
      </c>
    </row>
    <row r="230" spans="1:11" ht="12.75">
      <c r="A230" s="1" t="s">
        <v>22</v>
      </c>
      <c r="B230" t="str">
        <f>T("ADMINISTRATIVE SERVICES GROUP")</f>
        <v>ADMINISTRATIVE SERVICES GROUP</v>
      </c>
      <c r="C230" t="str">
        <f>T("BOX 25046 DFC  MS 915")</f>
        <v>BOX 25046 DFC  MS 915</v>
      </c>
      <c r="D230" t="s">
        <v>11</v>
      </c>
      <c r="E230" t="s">
        <v>11</v>
      </c>
      <c r="F230" t="s">
        <v>11</v>
      </c>
      <c r="G230" t="str">
        <f t="shared" si="9"/>
        <v>DENVER</v>
      </c>
      <c r="H230" t="str">
        <f t="shared" si="10"/>
        <v>CO </v>
      </c>
      <c r="I230" s="1">
        <f t="shared" si="11"/>
        <v>80225</v>
      </c>
      <c r="J230" s="1">
        <f>N(3032365900)</f>
        <v>3032365900</v>
      </c>
      <c r="K230" s="1">
        <f>N(3032364742)</f>
        <v>3032364742</v>
      </c>
    </row>
    <row r="231" spans="1:11" ht="12.75">
      <c r="A231" s="1" t="s">
        <v>22</v>
      </c>
      <c r="B231" t="str">
        <f>T("PUBLICATIONS SUPPORT SVC GRP")</f>
        <v>PUBLICATIONS SUPPORT SVC GRP</v>
      </c>
      <c r="C231" t="str">
        <f>T("BOX 25046 MS 902 DFC")</f>
        <v>BOX 25046 MS 902 DFC</v>
      </c>
      <c r="D231" t="s">
        <v>11</v>
      </c>
      <c r="E231" t="s">
        <v>11</v>
      </c>
      <c r="F231" t="s">
        <v>11</v>
      </c>
      <c r="G231" t="str">
        <f t="shared" si="9"/>
        <v>DENVER</v>
      </c>
      <c r="H231" t="str">
        <f t="shared" si="10"/>
        <v>CO </v>
      </c>
      <c r="I231" s="1">
        <f t="shared" si="11"/>
        <v>80225</v>
      </c>
      <c r="J231" s="1">
        <f>N(3032365466)</f>
        <v>3032365466</v>
      </c>
      <c r="K231" s="1">
        <f>N(3032366287)</f>
        <v>3032366287</v>
      </c>
    </row>
    <row r="232" spans="1:11" ht="12.75">
      <c r="A232" s="1" t="s">
        <v>22</v>
      </c>
      <c r="B232" t="str">
        <f>T("PROGRAM GROUP")</f>
        <v>PROGRAM GROUP</v>
      </c>
      <c r="C232" t="str">
        <f>T("BOX 25046 DFC MS 974")</f>
        <v>BOX 25046 DFC MS 974</v>
      </c>
      <c r="D232" t="s">
        <v>11</v>
      </c>
      <c r="E232" t="s">
        <v>11</v>
      </c>
      <c r="F232" t="s">
        <v>11</v>
      </c>
      <c r="G232" t="str">
        <f t="shared" si="9"/>
        <v>DENVER</v>
      </c>
      <c r="H232" t="str">
        <f t="shared" si="10"/>
        <v>CO </v>
      </c>
      <c r="I232" s="1">
        <f t="shared" si="11"/>
        <v>80225</v>
      </c>
      <c r="J232" s="1">
        <f>N(3032364726)</f>
        <v>3032364726</v>
      </c>
      <c r="K232" s="1">
        <f>N(3032364717)</f>
        <v>3032364717</v>
      </c>
    </row>
    <row r="233" spans="1:11" ht="12.75">
      <c r="A233" s="1" t="s">
        <v>22</v>
      </c>
      <c r="B233" t="str">
        <f>T("MINERAL RESOURCE SRVY TEAM")</f>
        <v>MINERAL RESOURCE SRVY TEAM</v>
      </c>
      <c r="C233" t="str">
        <f>T("BOX 25046 MS 973 DFC")</f>
        <v>BOX 25046 MS 973 DFC</v>
      </c>
      <c r="D233" t="s">
        <v>11</v>
      </c>
      <c r="E233" t="s">
        <v>11</v>
      </c>
      <c r="F233" t="s">
        <v>11</v>
      </c>
      <c r="G233" t="str">
        <f t="shared" si="9"/>
        <v>DENVER</v>
      </c>
      <c r="H233" t="str">
        <f t="shared" si="10"/>
        <v>CO </v>
      </c>
      <c r="I233" s="1">
        <f t="shared" si="11"/>
        <v>80225</v>
      </c>
      <c r="J233" s="1">
        <f>N(3032364953)</f>
        <v>3032364953</v>
      </c>
      <c r="K233" s="1">
        <f>N(3032361811)</f>
        <v>3032361811</v>
      </c>
    </row>
    <row r="234" spans="1:11" ht="12.75">
      <c r="A234" s="1" t="s">
        <v>22</v>
      </c>
      <c r="B234" t="str">
        <f>T("ENERGY RESOURCE SRVY TEAM")</f>
        <v>ENERGY RESOURCE SRVY TEAM</v>
      </c>
      <c r="C234" t="str">
        <f>T("BOX 25046 MS 939 DFC")</f>
        <v>BOX 25046 MS 939 DFC</v>
      </c>
      <c r="D234" t="s">
        <v>11</v>
      </c>
      <c r="E234" t="s">
        <v>11</v>
      </c>
      <c r="F234" t="s">
        <v>11</v>
      </c>
      <c r="G234" t="str">
        <f>T("DENVER")</f>
        <v>DENVER</v>
      </c>
      <c r="H234" t="str">
        <f>T("CO ")</f>
        <v>CO </v>
      </c>
      <c r="I234" s="1">
        <f>N(80225)</f>
        <v>80225</v>
      </c>
      <c r="J234" s="1">
        <f>N(3032364161)</f>
        <v>3032364161</v>
      </c>
      <c r="K234" s="1">
        <f>N(3032360459)</f>
        <v>3032360459</v>
      </c>
    </row>
    <row r="235" spans="1:11" ht="12.75">
      <c r="A235" s="1" t="s">
        <v>22</v>
      </c>
      <c r="B235" t="str">
        <f>T("GEOLOGIC HAZARDS TEAM")</f>
        <v>GEOLOGIC HAZARDS TEAM</v>
      </c>
      <c r="C235" t="str">
        <f>T("BOX 25046 DFC MS 966")</f>
        <v>BOX 25046 DFC MS 966</v>
      </c>
      <c r="D235" t="s">
        <v>11</v>
      </c>
      <c r="E235" t="s">
        <v>11</v>
      </c>
      <c r="F235" t="s">
        <v>11</v>
      </c>
      <c r="G235" t="str">
        <f>T("DENVER")</f>
        <v>DENVER</v>
      </c>
      <c r="H235" t="str">
        <f>T("CO ")</f>
        <v>CO </v>
      </c>
      <c r="I235" s="1">
        <f>N(80225)</f>
        <v>80225</v>
      </c>
      <c r="J235" s="1">
        <f>N(3032368445)</f>
        <v>3032368445</v>
      </c>
      <c r="K235" s="1">
        <f>N(3032368449)</f>
        <v>3032368449</v>
      </c>
    </row>
    <row r="236" spans="1:11" ht="12.75">
      <c r="A236" s="1" t="s">
        <v>22</v>
      </c>
      <c r="B236" t="str">
        <f>T("EARTH SURFACE PROCESSES TEAM")</f>
        <v>EARTH SURFACE PROCESSES TEAM</v>
      </c>
      <c r="C236" t="str">
        <f>T("BOX 25046  MS 980 DFC ")</f>
        <v>BOX 25046  MS 980 DFC </v>
      </c>
      <c r="D236" t="s">
        <v>11</v>
      </c>
      <c r="E236" t="s">
        <v>11</v>
      </c>
      <c r="F236" t="s">
        <v>11</v>
      </c>
      <c r="G236" t="str">
        <f>T("DENVER")</f>
        <v>DENVER</v>
      </c>
      <c r="H236" t="str">
        <f>T("CO ")</f>
        <v>CO </v>
      </c>
      <c r="I236" s="1">
        <f>N(80225)</f>
        <v>80225</v>
      </c>
      <c r="J236" s="1">
        <f>N(3032367882)</f>
        <v>3032367882</v>
      </c>
      <c r="K236" s="1">
        <f>N(3032365690)</f>
        <v>3032365690</v>
      </c>
    </row>
    <row r="237" spans="1:11" ht="12.75">
      <c r="A237" s="1" t="s">
        <v>22</v>
      </c>
      <c r="B237" t="str">
        <f>T("CRSTL IMAGING &amp; CHAR TEAM")</f>
        <v>CRSTL IMAGING &amp; CHAR TEAM</v>
      </c>
      <c r="C237" t="str">
        <f>T("BOX 25046 DFC MS 935")</f>
        <v>BOX 25046 DFC MS 935</v>
      </c>
      <c r="D237" t="s">
        <v>11</v>
      </c>
      <c r="E237" t="s">
        <v>11</v>
      </c>
      <c r="F237" t="s">
        <v>11</v>
      </c>
      <c r="G237" t="str">
        <f>T("DENVER")</f>
        <v>DENVER</v>
      </c>
      <c r="H237" t="str">
        <f>T("CO ")</f>
        <v>CO </v>
      </c>
      <c r="I237" s="1">
        <f>N(80225)</f>
        <v>80225</v>
      </c>
      <c r="J237" s="1">
        <f>N(3032365459)</f>
        <v>3032365459</v>
      </c>
      <c r="K237" s="1">
        <f>N(3032361708)</f>
        <v>3032361708</v>
      </c>
    </row>
    <row r="238" spans="1:11" ht="12.75">
      <c r="A238" s="1" t="s">
        <v>22</v>
      </c>
      <c r="B238" t="str">
        <f>T("LOUISIANA CF &amp; WRU")</f>
        <v>LOUISIANA CF &amp; WRU</v>
      </c>
      <c r="C238" t="str">
        <f>T("USGS BRD COOPERATIVE RESEARCH UNIT")</f>
        <v>USGS BRD COOPERATIVE RESEARCH UNIT</v>
      </c>
      <c r="D238" t="str">
        <f>T("124 FORESTRY WLDLFE FISH BLDG LSU")</f>
        <v>124 FORESTRY WLDLFE FISH BLDG LSU</v>
      </c>
      <c r="E238" t="s">
        <v>11</v>
      </c>
      <c r="F238" t="s">
        <v>11</v>
      </c>
      <c r="G238" t="str">
        <f>T("BATON ROUGE")</f>
        <v>BATON ROUGE</v>
      </c>
      <c r="H238" t="str">
        <f>T("LA ")</f>
        <v>LA </v>
      </c>
      <c r="I238" s="1">
        <f>N(70803)</f>
        <v>70803</v>
      </c>
      <c r="J238" s="1">
        <f>N(2253784180)</f>
        <v>2253784180</v>
      </c>
      <c r="K238" s="1">
        <f>N(2253884144)</f>
        <v>2253884144</v>
      </c>
    </row>
    <row r="239" spans="1:11" ht="12.75">
      <c r="A239" s="1" t="s">
        <v>22</v>
      </c>
      <c r="B239" t="str">
        <f>T("INFO SERVICES TEAM")</f>
        <v>INFO SERVICES TEAM</v>
      </c>
      <c r="C239" t="str">
        <f aca="true" t="shared" si="12" ref="C239:C249">T("US GEOLOGICAL SURVEY NATIONAL CENTER")</f>
        <v>US GEOLOGICAL SURVEY NATIONAL CENTER</v>
      </c>
      <c r="D239" t="str">
        <f>T("12201 SUNRISE VALLEY DRIVE")</f>
        <v>12201 SUNRISE VALLEY DRIVE</v>
      </c>
      <c r="E239" t="str">
        <f>T("MS 170")</f>
        <v>MS 170</v>
      </c>
      <c r="F239" t="s">
        <v>11</v>
      </c>
      <c r="G239" t="str">
        <f aca="true" t="shared" si="13" ref="G239:G249">T("RESTON")</f>
        <v>RESTON</v>
      </c>
      <c r="H239" t="str">
        <f aca="true" t="shared" si="14" ref="H239:H249">T("VA ")</f>
        <v>VA </v>
      </c>
      <c r="I239" s="1">
        <f aca="true" t="shared" si="15" ref="I239:I245">N(20192)</f>
        <v>20192</v>
      </c>
      <c r="J239" s="1">
        <f>N(7036485547)</f>
        <v>7036485547</v>
      </c>
      <c r="K239" s="1">
        <f>N(7036484165)</f>
        <v>7036484165</v>
      </c>
    </row>
    <row r="240" spans="1:11" ht="12.75">
      <c r="A240" s="1" t="s">
        <v>22</v>
      </c>
      <c r="B240" t="str">
        <f>T("REGIONAL INVESTIGATIONS TEAM")</f>
        <v>REGIONAL INVESTIGATIONS TEAM</v>
      </c>
      <c r="C240" t="str">
        <f t="shared" si="12"/>
        <v>US GEOLOGICAL SURVEY NATIONAL CENTER</v>
      </c>
      <c r="D240" t="str">
        <f>T("12201 SUNRISE VALLEY DRIVE")</f>
        <v>12201 SUNRISE VALLEY DRIVE</v>
      </c>
      <c r="E240" t="str">
        <f>T("MS 170")</f>
        <v>MS 170</v>
      </c>
      <c r="F240" t="s">
        <v>11</v>
      </c>
      <c r="G240" t="str">
        <f t="shared" si="13"/>
        <v>RESTON</v>
      </c>
      <c r="H240" t="str">
        <f t="shared" si="14"/>
        <v>VA </v>
      </c>
      <c r="I240" s="1">
        <f t="shared" si="15"/>
        <v>20192</v>
      </c>
      <c r="J240" s="1">
        <f>N(7036485547)</f>
        <v>7036485547</v>
      </c>
      <c r="K240" s="1">
        <f>N(7036484165)</f>
        <v>7036484165</v>
      </c>
    </row>
    <row r="241" spans="1:11" ht="12.75">
      <c r="A241" s="1" t="s">
        <v>22</v>
      </c>
      <c r="B241" t="str">
        <f>T("REAL TIME LAND CHANGE TEAM")</f>
        <v>REAL TIME LAND CHANGE TEAM</v>
      </c>
      <c r="C241" t="str">
        <f t="shared" si="12"/>
        <v>US GEOLOGICAL SURVEY NATIONAL CENTER</v>
      </c>
      <c r="D241" t="str">
        <f>T("12201 SUNRISE VALLEY DRIVE")</f>
        <v>12201 SUNRISE VALLEY DRIVE</v>
      </c>
      <c r="E241" t="str">
        <f>T("MS 170")</f>
        <v>MS 170</v>
      </c>
      <c r="F241" t="s">
        <v>11</v>
      </c>
      <c r="G241" t="str">
        <f t="shared" si="13"/>
        <v>RESTON</v>
      </c>
      <c r="H241" t="str">
        <f t="shared" si="14"/>
        <v>VA </v>
      </c>
      <c r="I241" s="1">
        <f t="shared" si="15"/>
        <v>20192</v>
      </c>
      <c r="J241" s="1">
        <f>N(7036485547)</f>
        <v>7036485547</v>
      </c>
      <c r="K241" s="1">
        <f>N(7036484165)</f>
        <v>7036484165</v>
      </c>
    </row>
    <row r="242" spans="1:11" ht="12.75">
      <c r="A242" s="1" t="s">
        <v>22</v>
      </c>
      <c r="B242" t="str">
        <f>T("GIO-INFO SECURITY TEAM")</f>
        <v>GIO-INFO SECURITY TEAM</v>
      </c>
      <c r="C242" t="str">
        <f t="shared" si="12"/>
        <v>US GEOLOGICAL SURVEY NATIONAL CENTER</v>
      </c>
      <c r="D242" t="str">
        <f aca="true" t="shared" si="16" ref="D242:D247">T("159 NATIONAL CENTER")</f>
        <v>159 NATIONAL CENTER</v>
      </c>
      <c r="E242" t="s">
        <v>11</v>
      </c>
      <c r="F242" t="s">
        <v>11</v>
      </c>
      <c r="G242" t="str">
        <f t="shared" si="13"/>
        <v>RESTON</v>
      </c>
      <c r="H242" t="str">
        <f t="shared" si="14"/>
        <v>VA </v>
      </c>
      <c r="I242" s="1">
        <f t="shared" si="15"/>
        <v>20192</v>
      </c>
      <c r="J242" s="1">
        <f aca="true" t="shared" si="17" ref="J242:J248">N(7036485780)</f>
        <v>7036485780</v>
      </c>
      <c r="K242" s="1">
        <f aca="true" t="shared" si="18" ref="K242:K248">N(7036486821)</f>
        <v>7036486821</v>
      </c>
    </row>
    <row r="243" spans="1:11" ht="12.75">
      <c r="A243" s="1" t="s">
        <v>22</v>
      </c>
      <c r="B243" t="str">
        <f>T("GIO-CHIEF TECHNOLOGY OFFICER")</f>
        <v>GIO-CHIEF TECHNOLOGY OFFICER</v>
      </c>
      <c r="C243" t="str">
        <f t="shared" si="12"/>
        <v>US GEOLOGICAL SURVEY NATIONAL CENTER</v>
      </c>
      <c r="D243" t="str">
        <f t="shared" si="16"/>
        <v>159 NATIONAL CENTER</v>
      </c>
      <c r="E243" t="s">
        <v>11</v>
      </c>
      <c r="F243" t="s">
        <v>11</v>
      </c>
      <c r="G243" t="str">
        <f t="shared" si="13"/>
        <v>RESTON</v>
      </c>
      <c r="H243" t="str">
        <f t="shared" si="14"/>
        <v>VA </v>
      </c>
      <c r="I243" s="1">
        <f t="shared" si="15"/>
        <v>20192</v>
      </c>
      <c r="J243" s="1">
        <f t="shared" si="17"/>
        <v>7036485780</v>
      </c>
      <c r="K243" s="1">
        <f t="shared" si="18"/>
        <v>7036486821</v>
      </c>
    </row>
    <row r="244" spans="1:11" ht="12.75">
      <c r="A244" s="1" t="s">
        <v>22</v>
      </c>
      <c r="B244" t="str">
        <f>T("GIO-CTO-KNOWLEGE MGMT")</f>
        <v>GIO-CTO-KNOWLEGE MGMT</v>
      </c>
      <c r="C244" t="str">
        <f t="shared" si="12"/>
        <v>US GEOLOGICAL SURVEY NATIONAL CENTER</v>
      </c>
      <c r="D244" t="str">
        <f t="shared" si="16"/>
        <v>159 NATIONAL CENTER</v>
      </c>
      <c r="E244" t="s">
        <v>11</v>
      </c>
      <c r="F244" t="s">
        <v>11</v>
      </c>
      <c r="G244" t="str">
        <f t="shared" si="13"/>
        <v>RESTON</v>
      </c>
      <c r="H244" t="str">
        <f t="shared" si="14"/>
        <v>VA </v>
      </c>
      <c r="I244" s="1">
        <f t="shared" si="15"/>
        <v>20192</v>
      </c>
      <c r="J244" s="1">
        <f t="shared" si="17"/>
        <v>7036485780</v>
      </c>
      <c r="K244" s="1">
        <f t="shared" si="18"/>
        <v>7036486821</v>
      </c>
    </row>
    <row r="245" spans="1:11" ht="12.75">
      <c r="A245" s="1" t="s">
        <v>22</v>
      </c>
      <c r="B245" t="str">
        <f>T("GIO-CTO-COMPUTING INFRAS")</f>
        <v>GIO-CTO-COMPUTING INFRAS</v>
      </c>
      <c r="C245" t="str">
        <f t="shared" si="12"/>
        <v>US GEOLOGICAL SURVEY NATIONAL CENTER</v>
      </c>
      <c r="D245" t="str">
        <f t="shared" si="16"/>
        <v>159 NATIONAL CENTER</v>
      </c>
      <c r="E245" t="s">
        <v>11</v>
      </c>
      <c r="F245" t="s">
        <v>11</v>
      </c>
      <c r="G245" t="str">
        <f t="shared" si="13"/>
        <v>RESTON</v>
      </c>
      <c r="H245" t="str">
        <f t="shared" si="14"/>
        <v>VA </v>
      </c>
      <c r="I245" s="1">
        <f t="shared" si="15"/>
        <v>20192</v>
      </c>
      <c r="J245" s="1">
        <f t="shared" si="17"/>
        <v>7036485780</v>
      </c>
      <c r="K245" s="1">
        <f t="shared" si="18"/>
        <v>7036486821</v>
      </c>
    </row>
    <row r="246" spans="1:11" ht="12.75">
      <c r="A246" s="1" t="s">
        <v>22</v>
      </c>
      <c r="B246" t="str">
        <f>T("GIO-CTO-TELECOM INFRAS")</f>
        <v>GIO-CTO-TELECOM INFRAS</v>
      </c>
      <c r="C246" t="str">
        <f t="shared" si="12"/>
        <v>US GEOLOGICAL SURVEY NATIONAL CENTER</v>
      </c>
      <c r="D246" t="str">
        <f t="shared" si="16"/>
        <v>159 NATIONAL CENTER</v>
      </c>
      <c r="E246" t="s">
        <v>11</v>
      </c>
      <c r="F246" t="s">
        <v>11</v>
      </c>
      <c r="G246" t="str">
        <f t="shared" si="13"/>
        <v>RESTON</v>
      </c>
      <c r="H246" t="str">
        <f t="shared" si="14"/>
        <v>VA </v>
      </c>
      <c r="I246" s="1">
        <f>N(94025)</f>
        <v>94025</v>
      </c>
      <c r="J246" s="1">
        <f t="shared" si="17"/>
        <v>7036485780</v>
      </c>
      <c r="K246" s="1">
        <f t="shared" si="18"/>
        <v>7036486821</v>
      </c>
    </row>
    <row r="247" spans="1:11" ht="12.75">
      <c r="A247" s="1" t="s">
        <v>22</v>
      </c>
      <c r="B247" t="str">
        <f>T("GIO-CIS-INFO POLICY &amp; SERVICES")</f>
        <v>GIO-CIS-INFO POLICY &amp; SERVICES</v>
      </c>
      <c r="C247" t="str">
        <f t="shared" si="12"/>
        <v>US GEOLOGICAL SURVEY NATIONAL CENTER</v>
      </c>
      <c r="D247" t="str">
        <f t="shared" si="16"/>
        <v>159 NATIONAL CENTER</v>
      </c>
      <c r="E247" t="s">
        <v>11</v>
      </c>
      <c r="F247" t="s">
        <v>11</v>
      </c>
      <c r="G247" t="str">
        <f t="shared" si="13"/>
        <v>RESTON</v>
      </c>
      <c r="H247" t="str">
        <f t="shared" si="14"/>
        <v>VA </v>
      </c>
      <c r="I247" s="1">
        <f>N(20192)</f>
        <v>20192</v>
      </c>
      <c r="J247" s="1">
        <f t="shared" si="17"/>
        <v>7036485780</v>
      </c>
      <c r="K247" s="1">
        <f t="shared" si="18"/>
        <v>7036486821</v>
      </c>
    </row>
    <row r="248" spans="1:11" ht="12.75">
      <c r="A248" s="1" t="s">
        <v>22</v>
      </c>
      <c r="B248" t="str">
        <f>T("GIO-FGDC")</f>
        <v>GIO-FGDC</v>
      </c>
      <c r="C248" t="str">
        <f t="shared" si="12"/>
        <v>US GEOLOGICAL SURVEY NATIONAL CENTER</v>
      </c>
      <c r="D248" t="str">
        <f>T("GEOGRAPHIC INFORMATION OFFICER")</f>
        <v>GEOGRAPHIC INFORMATION OFFICER</v>
      </c>
      <c r="E248" t="str">
        <f>T("159 NATIONAL CENTER")</f>
        <v>159 NATIONAL CENTER</v>
      </c>
      <c r="F248" t="s">
        <v>11</v>
      </c>
      <c r="G248" t="str">
        <f t="shared" si="13"/>
        <v>RESTON</v>
      </c>
      <c r="H248" t="str">
        <f t="shared" si="14"/>
        <v>VA </v>
      </c>
      <c r="I248" s="1">
        <f>N(20192)</f>
        <v>20192</v>
      </c>
      <c r="J248" s="1">
        <f t="shared" si="17"/>
        <v>7036485780</v>
      </c>
      <c r="K248" s="1">
        <f t="shared" si="18"/>
        <v>7036486821</v>
      </c>
    </row>
    <row r="249" spans="1:11" ht="12.75">
      <c r="A249" s="1" t="s">
        <v>22</v>
      </c>
      <c r="B249" t="str">
        <f>T("SIMPLIFIED ACQUISITION BRANCH")</f>
        <v>SIMPLIFIED ACQUISITION BRANCH</v>
      </c>
      <c r="C249" t="str">
        <f t="shared" si="12"/>
        <v>US GEOLOGICAL SURVEY NATIONAL CENTER</v>
      </c>
      <c r="D249" t="str">
        <f>T("OFFICE OF ACQUISITION AND GRANTS")</f>
        <v>OFFICE OF ACQUISITION AND GRANTS</v>
      </c>
      <c r="E249" t="str">
        <f>T("205 NATIONAL CENTER")</f>
        <v>205 NATIONAL CENTER</v>
      </c>
      <c r="F249" t="s">
        <v>11</v>
      </c>
      <c r="G249" t="str">
        <f t="shared" si="13"/>
        <v>RESTON</v>
      </c>
      <c r="H249" t="str">
        <f t="shared" si="14"/>
        <v>VA </v>
      </c>
      <c r="I249" s="1">
        <f>N(20192)</f>
        <v>20192</v>
      </c>
      <c r="J249" s="1">
        <f>N(7036487350)</f>
        <v>7036487350</v>
      </c>
      <c r="K249" s="1">
        <f>N(7036487901)</f>
        <v>7036487901</v>
      </c>
    </row>
    <row r="250" spans="1:11" ht="12.75">
      <c r="A250" s="1" t="s">
        <v>22</v>
      </c>
      <c r="B250" t="str">
        <f>T("HYDR INSTRUMENTATION FACILIT")</f>
        <v>HYDR INSTRUMENTATION FACILIT</v>
      </c>
      <c r="C250" t="str">
        <f>T("STENNIS DATA CENTER BUILDING 2101")</f>
        <v>STENNIS DATA CENTER BUILDING 2101</v>
      </c>
      <c r="D250" t="s">
        <v>11</v>
      </c>
      <c r="E250" t="s">
        <v>11</v>
      </c>
      <c r="F250" t="s">
        <v>11</v>
      </c>
      <c r="G250" t="str">
        <f>T("STENNIS SP CN")</f>
        <v>STENNIS SP CN</v>
      </c>
      <c r="H250" t="str">
        <f>T("MS ")</f>
        <v>MS </v>
      </c>
      <c r="I250" s="1">
        <f>N(39529)</f>
        <v>39529</v>
      </c>
      <c r="J250" s="1">
        <f>N(2286882109)</f>
        <v>2286882109</v>
      </c>
      <c r="K250" s="1">
        <f>N(2286881577)</f>
        <v>2286881577</v>
      </c>
    </row>
    <row r="251" spans="1:11" ht="12.75">
      <c r="A251" s="1" t="s">
        <v>22</v>
      </c>
      <c r="B251" t="str">
        <f>T("NE RESEARCH")</f>
        <v>NE RESEARCH</v>
      </c>
      <c r="C251" t="str">
        <f>T("432 NATIONAL CENTER")</f>
        <v>432 NATIONAL CENTER</v>
      </c>
      <c r="D251" t="s">
        <v>11</v>
      </c>
      <c r="E251" t="s">
        <v>11</v>
      </c>
      <c r="F251" t="s">
        <v>11</v>
      </c>
      <c r="G251" t="str">
        <f>T("RESTON")</f>
        <v>RESTON</v>
      </c>
      <c r="H251" t="str">
        <f>T("VA ")</f>
        <v>VA </v>
      </c>
      <c r="I251" s="1">
        <f>N(20192)</f>
        <v>20192</v>
      </c>
      <c r="J251" s="1">
        <f>N(7036485808)</f>
        <v>7036485808</v>
      </c>
      <c r="K251" s="1">
        <f>N(7036485832)</f>
        <v>7036485832</v>
      </c>
    </row>
    <row r="252" spans="1:11" ht="12.75">
      <c r="A252" s="1" t="s">
        <v>22</v>
      </c>
      <c r="B252" t="str">
        <f>T("WR RESEARCH")</f>
        <v>WR RESEARCH</v>
      </c>
      <c r="C252" t="str">
        <f>T("345 MIDDLEFIELD ROAD MS 466")</f>
        <v>345 MIDDLEFIELD ROAD MS 466</v>
      </c>
      <c r="D252" t="s">
        <v>11</v>
      </c>
      <c r="E252" t="s">
        <v>11</v>
      </c>
      <c r="F252" t="s">
        <v>11</v>
      </c>
      <c r="G252" t="str">
        <f>T("MENLO PARK")</f>
        <v>MENLO PARK</v>
      </c>
      <c r="H252" t="str">
        <f>T("CA ")</f>
        <v>CA </v>
      </c>
      <c r="I252" s="1">
        <f>N(94025)</f>
        <v>94025</v>
      </c>
      <c r="J252" s="1">
        <f>N(6503294453)</f>
        <v>6503294453</v>
      </c>
      <c r="K252" s="1">
        <f>N(6503294463)</f>
        <v>6503294463</v>
      </c>
    </row>
    <row r="253" spans="1:11" ht="12.75">
      <c r="A253" s="1" t="s">
        <v>22</v>
      </c>
      <c r="B253" t="str">
        <f>T("OGW BRANCH OF GEOPHYSICS")</f>
        <v>OGW BRANCH OF GEOPHYSICS</v>
      </c>
      <c r="C253" t="str">
        <f>T("11 SHERMAN PLACE U 5015")</f>
        <v>11 SHERMAN PLACE U 5015</v>
      </c>
      <c r="D253" t="s">
        <v>11</v>
      </c>
      <c r="E253" t="s">
        <v>11</v>
      </c>
      <c r="F253" t="s">
        <v>11</v>
      </c>
      <c r="G253" t="str">
        <f>T("STORRS")</f>
        <v>STORRS</v>
      </c>
      <c r="H253" t="str">
        <f>T("CT ")</f>
        <v>CT </v>
      </c>
      <c r="I253" s="2" t="s">
        <v>21</v>
      </c>
      <c r="J253" s="1">
        <f>N(8604877402)</f>
        <v>8604877402</v>
      </c>
      <c r="K253" s="1">
        <f>N(7036486693)</f>
        <v>7036486693</v>
      </c>
    </row>
    <row r="254" spans="1:11" ht="12.75">
      <c r="A254" s="1" t="s">
        <v>22</v>
      </c>
      <c r="B254" t="str">
        <f>T("YUCCA MOUNTAIN HQ")</f>
        <v>YUCCA MOUNTAIN HQ</v>
      </c>
      <c r="C254" t="str">
        <f>T("BOX 25046 MS 421 DFC")</f>
        <v>BOX 25046 MS 421 DFC</v>
      </c>
      <c r="D254" t="s">
        <v>11</v>
      </c>
      <c r="E254" t="s">
        <v>11</v>
      </c>
      <c r="F254" t="s">
        <v>11</v>
      </c>
      <c r="G254" t="str">
        <f>T("DENVER")</f>
        <v>DENVER</v>
      </c>
      <c r="H254" t="str">
        <f>T("CO ")</f>
        <v>CO </v>
      </c>
      <c r="I254" s="1">
        <f>N(80225)</f>
        <v>80225</v>
      </c>
      <c r="J254" s="1">
        <f>N(3032365050)</f>
        <v>3032365050</v>
      </c>
      <c r="K254" s="1">
        <f>N(3032365047)</f>
        <v>3032365047</v>
      </c>
    </row>
    <row r="255" spans="1:11" ht="12.75">
      <c r="A255" s="1" t="s">
        <v>22</v>
      </c>
      <c r="B255" t="str">
        <f>T("SW BIO SCIENCE CENTER")</f>
        <v>SW BIO SCIENCE CENTER</v>
      </c>
      <c r="C255" t="str">
        <f>T("US GEOLOGICAL SURVEY NATIONAL CENTER")</f>
        <v>US GEOLOGICAL SURVEY NATIONAL CENTER</v>
      </c>
      <c r="D255" t="str">
        <f>T("205 NATIONAL CENTER")</f>
        <v>205 NATIONAL CENTER</v>
      </c>
      <c r="E255" t="s">
        <v>11</v>
      </c>
      <c r="F255" t="s">
        <v>11</v>
      </c>
      <c r="G255" t="str">
        <f>T("RESTON")</f>
        <v>RESTON</v>
      </c>
      <c r="H255" t="str">
        <f aca="true" t="shared" si="19" ref="H255:H261">T("VA ")</f>
        <v>VA </v>
      </c>
      <c r="I255" s="1">
        <f aca="true" t="shared" si="20" ref="I255:I261">N(20192)</f>
        <v>20192</v>
      </c>
      <c r="J255" s="1">
        <f>N(7036485780)</f>
        <v>7036485780</v>
      </c>
      <c r="K255" s="1">
        <f>N(7036486821)</f>
        <v>7036486821</v>
      </c>
    </row>
    <row r="256" spans="1:11" ht="12.75">
      <c r="A256" s="1" t="s">
        <v>22</v>
      </c>
      <c r="B256" t="str">
        <f>T("CANYONLANDS FIELD STATION")</f>
        <v>CANYONLANDS FIELD STATION</v>
      </c>
      <c r="C256" t="str">
        <f>T("US GEOLOGICAL SURVEY NATIONAL CENTER")</f>
        <v>US GEOLOGICAL SURVEY NATIONAL CENTER</v>
      </c>
      <c r="D256" t="s">
        <v>11</v>
      </c>
      <c r="E256" t="s">
        <v>11</v>
      </c>
      <c r="F256" t="s">
        <v>11</v>
      </c>
      <c r="G256" t="str">
        <f>T("RESTON")</f>
        <v>RESTON</v>
      </c>
      <c r="H256" t="str">
        <f t="shared" si="19"/>
        <v>VA </v>
      </c>
      <c r="I256" s="1">
        <f t="shared" si="20"/>
        <v>20192</v>
      </c>
      <c r="J256" s="1">
        <f>N(7036485780)</f>
        <v>7036485780</v>
      </c>
      <c r="K256" s="1">
        <f>N(7036486821)</f>
        <v>7036486821</v>
      </c>
    </row>
    <row r="257" spans="1:11" ht="12.75">
      <c r="A257" s="1" t="s">
        <v>22</v>
      </c>
      <c r="B257" t="str">
        <f>T("COLORADO PLATEAU FIELD STATION")</f>
        <v>COLORADO PLATEAU FIELD STATION</v>
      </c>
      <c r="C257" t="str">
        <f>T("US GEOLOGICAL SURVEY NATIONAL CENTER")</f>
        <v>US GEOLOGICAL SURVEY NATIONAL CENTER</v>
      </c>
      <c r="D257" t="s">
        <v>11</v>
      </c>
      <c r="E257" t="s">
        <v>11</v>
      </c>
      <c r="F257" t="s">
        <v>11</v>
      </c>
      <c r="G257" t="str">
        <f>T("RESTON")</f>
        <v>RESTON</v>
      </c>
      <c r="H257" t="str">
        <f t="shared" si="19"/>
        <v>VA </v>
      </c>
      <c r="I257" s="1">
        <f t="shared" si="20"/>
        <v>20192</v>
      </c>
      <c r="J257" s="1">
        <f>N(7036485780)</f>
        <v>7036485780</v>
      </c>
      <c r="K257" s="1" t="s">
        <v>11</v>
      </c>
    </row>
    <row r="258" spans="1:11" ht="12.75">
      <c r="A258" s="1" t="s">
        <v>22</v>
      </c>
      <c r="B258" t="str">
        <f>T("SONORAN DESERT FIELD STATION")</f>
        <v>SONORAN DESERT FIELD STATION</v>
      </c>
      <c r="C258" t="str">
        <f>T("US GEOLOGICAL SURVEY NATIONAL CENTER")</f>
        <v>US GEOLOGICAL SURVEY NATIONAL CENTER</v>
      </c>
      <c r="D258" t="s">
        <v>11</v>
      </c>
      <c r="E258" t="s">
        <v>11</v>
      </c>
      <c r="F258" t="s">
        <v>11</v>
      </c>
      <c r="G258" t="str">
        <f>T("RESTON")</f>
        <v>RESTON</v>
      </c>
      <c r="H258" t="str">
        <f t="shared" si="19"/>
        <v>VA </v>
      </c>
      <c r="I258" s="1">
        <f t="shared" si="20"/>
        <v>20192</v>
      </c>
      <c r="J258" s="1">
        <f>N(7036485780)</f>
        <v>7036485780</v>
      </c>
      <c r="K258" s="1" t="s">
        <v>11</v>
      </c>
    </row>
    <row r="259" spans="1:11" ht="12.75">
      <c r="A259" s="1" t="s">
        <v>22</v>
      </c>
      <c r="B259" t="str">
        <f>T("GRAND CANYON MONITORING STATIO")</f>
        <v>GRAND CANYON MONITORING STATIO</v>
      </c>
      <c r="C259" t="str">
        <f>T("US GEOLOGICAL SURVEY NATIONAL CENTER")</f>
        <v>US GEOLOGICAL SURVEY NATIONAL CENTER</v>
      </c>
      <c r="D259" t="s">
        <v>11</v>
      </c>
      <c r="E259" t="s">
        <v>11</v>
      </c>
      <c r="F259" t="s">
        <v>11</v>
      </c>
      <c r="G259" t="str">
        <f>T("RESTON")</f>
        <v>RESTON</v>
      </c>
      <c r="H259" t="str">
        <f t="shared" si="19"/>
        <v>VA </v>
      </c>
      <c r="I259" s="1">
        <f t="shared" si="20"/>
        <v>20192</v>
      </c>
      <c r="J259" s="1">
        <f>N(7036485780)</f>
        <v>7036485780</v>
      </c>
      <c r="K259" s="1" t="s">
        <v>11</v>
      </c>
    </row>
    <row r="260" spans="1:11" ht="12.75">
      <c r="A260" s="1" t="s">
        <v>22</v>
      </c>
      <c r="B260" t="str">
        <f>T("GIO CTO POWELL")</f>
        <v>GIO CTO POWELL</v>
      </c>
      <c r="C260" t="str">
        <f>T("12201 SUNRISE VALLEY DR")</f>
        <v>12201 SUNRISE VALLEY DR</v>
      </c>
      <c r="D260" t="str">
        <f>T("MS 605")</f>
        <v>MS 605</v>
      </c>
      <c r="E260" t="s">
        <v>11</v>
      </c>
      <c r="F260" t="s">
        <v>11</v>
      </c>
      <c r="G260" t="str">
        <f>T("RESTON VA")</f>
        <v>RESTON VA</v>
      </c>
      <c r="H260" t="str">
        <f t="shared" si="19"/>
        <v>VA </v>
      </c>
      <c r="I260" s="1">
        <f t="shared" si="20"/>
        <v>20192</v>
      </c>
      <c r="J260" s="1">
        <f aca="true" t="shared" si="21" ref="J260:K262">N(9)</f>
        <v>9</v>
      </c>
      <c r="K260" s="1">
        <f t="shared" si="21"/>
        <v>9</v>
      </c>
    </row>
    <row r="261" spans="1:11" ht="12.75">
      <c r="A261" s="1" t="s">
        <v>22</v>
      </c>
      <c r="B261" t="str">
        <f>T("GIO-CTM")</f>
        <v>GIO-CTM</v>
      </c>
      <c r="C261" t="str">
        <f>T("12201 SUNRISE VALLEY DR")</f>
        <v>12201 SUNRISE VALLEY DR</v>
      </c>
      <c r="D261" t="str">
        <f>T("MS 605")</f>
        <v>MS 605</v>
      </c>
      <c r="E261" t="s">
        <v>11</v>
      </c>
      <c r="F261" t="s">
        <v>11</v>
      </c>
      <c r="G261" t="str">
        <f>T("RESTON")</f>
        <v>RESTON</v>
      </c>
      <c r="H261" t="str">
        <f t="shared" si="19"/>
        <v>VA </v>
      </c>
      <c r="I261" s="1">
        <f t="shared" si="20"/>
        <v>20192</v>
      </c>
      <c r="J261" s="1">
        <f t="shared" si="21"/>
        <v>9</v>
      </c>
      <c r="K261" s="1">
        <f t="shared" si="21"/>
        <v>9</v>
      </c>
    </row>
    <row r="262" spans="1:11" ht="12.75">
      <c r="A262" s="1" t="s">
        <v>22</v>
      </c>
      <c r="B262" t="str">
        <f>T("ENTERPRISE GIS")</f>
        <v>ENTERPRISE GIS</v>
      </c>
      <c r="C262" t="str">
        <f>T("12201 SUNRISE VALLEY DR")</f>
        <v>12201 SUNRISE VALLEY DR</v>
      </c>
      <c r="D262" t="str">
        <f>T("MS 605")</f>
        <v>MS 605</v>
      </c>
      <c r="E262" t="s">
        <v>11</v>
      </c>
      <c r="F262" t="s">
        <v>11</v>
      </c>
      <c r="G262" t="str">
        <f>T("RESTON")</f>
        <v>RESTON</v>
      </c>
      <c r="H262" t="str">
        <f>T("VA ")</f>
        <v>VA </v>
      </c>
      <c r="I262" s="1">
        <f>N(20192)</f>
        <v>20192</v>
      </c>
      <c r="J262" s="1">
        <f t="shared" si="21"/>
        <v>9</v>
      </c>
      <c r="K262" s="1">
        <f t="shared" si="21"/>
        <v>9</v>
      </c>
    </row>
    <row r="263" spans="1:11" ht="12.75">
      <c r="A263" s="1" t="s">
        <v>22</v>
      </c>
      <c r="B263" t="str">
        <f>T("BRRCR-DFC")</f>
        <v>BRRCR-DFC</v>
      </c>
      <c r="C263" t="str">
        <f>T("US GEOLOGICAL SURVEY")</f>
        <v>US GEOLOGICAL SURVEY</v>
      </c>
      <c r="D263" t="str">
        <f>T("BOX 25046 DFC MAIL STOP 410")</f>
        <v>BOX 25046 DFC MAIL STOP 410</v>
      </c>
      <c r="E263" t="s">
        <v>11</v>
      </c>
      <c r="F263" t="s">
        <v>11</v>
      </c>
      <c r="G263" t="str">
        <f>T("DENVER")</f>
        <v>DENVER</v>
      </c>
      <c r="H263" t="str">
        <f>T("CO ")</f>
        <v>CO </v>
      </c>
      <c r="I263" s="1">
        <f>N(80225)</f>
        <v>80225</v>
      </c>
      <c r="J263" s="1" t="str">
        <f>T("303-236-4549")</f>
        <v>303-236-4549</v>
      </c>
      <c r="K263" s="1" t="s">
        <v>11</v>
      </c>
    </row>
    <row r="264" spans="1:11" ht="12.75">
      <c r="A264" s="1" t="s">
        <v>22</v>
      </c>
      <c r="B264" t="str">
        <f>T("BRRCR-BOULDER")</f>
        <v>BRRCR-BOULDER</v>
      </c>
      <c r="C264" t="str">
        <f>T("US GEOLOGICAL SURVEY ")</f>
        <v>US GEOLOGICAL SURVEY </v>
      </c>
      <c r="D264" t="str">
        <f>T("BOX 25046 DFC MAIL STOP 410")</f>
        <v>BOX 25046 DFC MAIL STOP 410</v>
      </c>
      <c r="E264" t="s">
        <v>11</v>
      </c>
      <c r="F264" t="s">
        <v>11</v>
      </c>
      <c r="G264" t="str">
        <f>T("DENVER ")</f>
        <v>DENVER </v>
      </c>
      <c r="H264" t="str">
        <f>T("CO ")</f>
        <v>CO </v>
      </c>
      <c r="I264" s="1">
        <f>N(80225)</f>
        <v>80225</v>
      </c>
      <c r="J264" s="1" t="str">
        <f>T("303-236-4549")</f>
        <v>303-236-4549</v>
      </c>
      <c r="K264" s="1" t="s">
        <v>11</v>
      </c>
    </row>
    <row r="265" spans="1:11" ht="12.75">
      <c r="A265" s="1" t="s">
        <v>22</v>
      </c>
      <c r="B265" t="str">
        <f>T("GAINESVILLE FIELD STATION")</f>
        <v>GAINESVILLE FIELD STATION</v>
      </c>
      <c r="C265" t="str">
        <f>T("7920 NW 71ST STREET")</f>
        <v>7920 NW 71ST STREET</v>
      </c>
      <c r="D265" t="s">
        <v>11</v>
      </c>
      <c r="E265" t="s">
        <v>11</v>
      </c>
      <c r="F265" t="s">
        <v>11</v>
      </c>
      <c r="G265" t="str">
        <f>T("GAINESVILLE")</f>
        <v>GAINESVILLE</v>
      </c>
      <c r="H265" t="str">
        <f>T("FL ")</f>
        <v>FL </v>
      </c>
      <c r="I265" s="1">
        <f>N(32653)</f>
        <v>32653</v>
      </c>
      <c r="J265" s="1">
        <f>N(8509429500)</f>
        <v>8509429500</v>
      </c>
      <c r="K265" s="1">
        <f>N(8509429521)</f>
        <v>8509429521</v>
      </c>
    </row>
    <row r="266" spans="1:11" ht="12.75">
      <c r="A266" s="1" t="s">
        <v>22</v>
      </c>
      <c r="B266" t="str">
        <f>T("TALLAHASSEE DISTRICT OFFICE")</f>
        <v>TALLAHASSEE DISTRICT OFFICE</v>
      </c>
      <c r="C266" t="str">
        <f>T("7920 NW 71ST STREET")</f>
        <v>7920 NW 71ST STREET</v>
      </c>
      <c r="D266" t="s">
        <v>11</v>
      </c>
      <c r="E266" t="s">
        <v>11</v>
      </c>
      <c r="F266" t="s">
        <v>11</v>
      </c>
      <c r="G266" t="str">
        <f>T("GAINESVILLE")</f>
        <v>GAINESVILLE</v>
      </c>
      <c r="H266" t="str">
        <f>T("FL ")</f>
        <v>FL </v>
      </c>
      <c r="I266" s="1">
        <f>N(32653)</f>
        <v>32653</v>
      </c>
      <c r="J266" s="1">
        <f>N(8509429500)</f>
        <v>8509429500</v>
      </c>
      <c r="K266" s="1">
        <f>N(8509429521)</f>
        <v>8509429521</v>
      </c>
    </row>
    <row r="267" spans="1:11" ht="12.75">
      <c r="A267" s="1" t="s">
        <v>22</v>
      </c>
      <c r="B267" t="str">
        <f>T("CENTER FOR W&amp;RS")</f>
        <v>CENTER FOR W&amp;RS</v>
      </c>
      <c r="C267" t="str">
        <f>T("9100 N W 36TH STREET")</f>
        <v>9100 N W 36TH STREET</v>
      </c>
      <c r="D267" t="str">
        <f>T("STE 107")</f>
        <v>STE 107</v>
      </c>
      <c r="E267" t="s">
        <v>11</v>
      </c>
      <c r="F267" t="s">
        <v>11</v>
      </c>
      <c r="G267" t="str">
        <f>T("MIAMI")</f>
        <v>MIAMI</v>
      </c>
      <c r="H267" t="str">
        <f>T("FL ")</f>
        <v>FL </v>
      </c>
      <c r="I267" s="1">
        <f>N(33178)</f>
        <v>33178</v>
      </c>
      <c r="J267" s="1">
        <f>N(3057175870)</f>
        <v>3057175870</v>
      </c>
      <c r="K267" s="1">
        <f>N(3057175801)</f>
        <v>3057175801</v>
      </c>
    </row>
    <row r="268" spans="1:11" ht="12.75">
      <c r="A268" s="1" t="s">
        <v>22</v>
      </c>
      <c r="B268" t="str">
        <f>T("CTR FOR C &amp; WS")</f>
        <v>CTR FOR C &amp; WS</v>
      </c>
      <c r="C268" t="str">
        <f>T("600 4TH STREET SOUTH")</f>
        <v>600 4TH STREET SOUTH</v>
      </c>
      <c r="D268" t="s">
        <v>11</v>
      </c>
      <c r="E268" t="s">
        <v>11</v>
      </c>
      <c r="F268" t="s">
        <v>11</v>
      </c>
      <c r="G268" t="str">
        <f>T("ST PETERSBURG")</f>
        <v>ST PETERSBURG</v>
      </c>
      <c r="H268" t="str">
        <f>T("FL ")</f>
        <v>FL </v>
      </c>
      <c r="I268" s="1">
        <f>N(33701)</f>
        <v>33701</v>
      </c>
      <c r="J268" s="1">
        <f>N(7278038747)</f>
        <v>7278038747</v>
      </c>
      <c r="K268" s="1">
        <f>N(7278032030)</f>
        <v>7278032030</v>
      </c>
    </row>
    <row r="269" spans="1:11" ht="12.75">
      <c r="A269" s="1" t="s">
        <v>22</v>
      </c>
      <c r="B269" t="str">
        <f>T("TAMPA SUBDISTRICT OFFICE")</f>
        <v>TAMPA SUBDISTRICT OFFICE</v>
      </c>
      <c r="C269" t="str">
        <f>T("600 4TH STREET SOUTH")</f>
        <v>600 4TH STREET SOUTH</v>
      </c>
      <c r="D269" t="s">
        <v>11</v>
      </c>
      <c r="E269" t="s">
        <v>11</v>
      </c>
      <c r="F269" t="s">
        <v>11</v>
      </c>
      <c r="G269" t="str">
        <f>T("ST PETERSBURG")</f>
        <v>ST PETERSBURG</v>
      </c>
      <c r="H269" t="str">
        <f>T("FL ")</f>
        <v>FL </v>
      </c>
      <c r="I269" s="1">
        <f>N(33701)</f>
        <v>33701</v>
      </c>
      <c r="J269" s="1">
        <f>N(7278038747)</f>
        <v>7278038747</v>
      </c>
      <c r="K269" s="1">
        <f>N(7278032030)</f>
        <v>7278032030</v>
      </c>
    </row>
    <row r="270" spans="1:11" ht="12.75">
      <c r="A270" s="1" t="s">
        <v>22</v>
      </c>
      <c r="B270" t="str">
        <f>T("ADMIN SERVICES")</f>
        <v>ADMIN SERVICES</v>
      </c>
      <c r="C270" t="str">
        <f>T("821 E INTERSTATE AVE")</f>
        <v>821 E INTERSTATE AVE</v>
      </c>
      <c r="D270" t="s">
        <v>11</v>
      </c>
      <c r="E270" t="s">
        <v>11</v>
      </c>
      <c r="F270" t="s">
        <v>11</v>
      </c>
      <c r="G270" t="str">
        <f>T("BISMARCK")</f>
        <v>BISMARCK</v>
      </c>
      <c r="H270" t="str">
        <f>T("ND ")</f>
        <v>ND </v>
      </c>
      <c r="I270" s="1" t="str">
        <f>T("58503-1136")</f>
        <v>58503-1136</v>
      </c>
      <c r="J270" s="1" t="str">
        <f>T("701-250-7405")</f>
        <v>701-250-7405</v>
      </c>
      <c r="K270" s="1" t="str">
        <f>T("701-250-7492")</f>
        <v>701-250-7492</v>
      </c>
    </row>
    <row r="271" spans="1:11" ht="12.75">
      <c r="A271" s="1" t="s">
        <v>22</v>
      </c>
      <c r="B271" t="str">
        <f>T("STUDIES")</f>
        <v>STUDIES</v>
      </c>
      <c r="C271" t="str">
        <f>T("821 E INTERSTATE AVE")</f>
        <v>821 E INTERSTATE AVE</v>
      </c>
      <c r="D271" t="s">
        <v>11</v>
      </c>
      <c r="E271" t="s">
        <v>11</v>
      </c>
      <c r="F271" t="s">
        <v>11</v>
      </c>
      <c r="G271" t="str">
        <f>T("BISMARCK")</f>
        <v>BISMARCK</v>
      </c>
      <c r="H271" t="str">
        <f>T("ND ")</f>
        <v>ND </v>
      </c>
      <c r="I271" s="1" t="str">
        <f>T("58503-1136")</f>
        <v>58503-1136</v>
      </c>
      <c r="J271" s="1" t="str">
        <f>T("701-250-7405")</f>
        <v>701-250-7405</v>
      </c>
      <c r="K271" s="1" t="str">
        <f>T("701-250-7492")</f>
        <v>701-250-7492</v>
      </c>
    </row>
    <row r="272" spans="1:11" ht="12.75">
      <c r="A272" s="1" t="s">
        <v>22</v>
      </c>
      <c r="B272" t="str">
        <f>T("RECORDS")</f>
        <v>RECORDS</v>
      </c>
      <c r="C272" t="str">
        <f>T("821 E INTERSTATE AVE")</f>
        <v>821 E INTERSTATE AVE</v>
      </c>
      <c r="D272" t="s">
        <v>11</v>
      </c>
      <c r="E272" t="s">
        <v>11</v>
      </c>
      <c r="F272" t="s">
        <v>11</v>
      </c>
      <c r="G272" t="str">
        <f>T("BISMARCK")</f>
        <v>BISMARCK</v>
      </c>
      <c r="H272" t="str">
        <f>T("ND ")</f>
        <v>ND </v>
      </c>
      <c r="I272" s="1" t="str">
        <f>T("58503-1136")</f>
        <v>58503-1136</v>
      </c>
      <c r="J272" s="1" t="str">
        <f>T("701-250-7405")</f>
        <v>701-250-7405</v>
      </c>
      <c r="K272" s="1" t="str">
        <f>T("701-250-7492")</f>
        <v>701-250-7492</v>
      </c>
    </row>
    <row r="273" spans="1:11" ht="12.75">
      <c r="A273" s="1" t="s">
        <v>22</v>
      </c>
      <c r="B273" t="str">
        <f>T("GRAND FORKS")</f>
        <v>GRAND FORKS</v>
      </c>
      <c r="C273" t="str">
        <f>T("821 E INTERSTATE AVE")</f>
        <v>821 E INTERSTATE AVE</v>
      </c>
      <c r="D273" t="s">
        <v>11</v>
      </c>
      <c r="E273" t="s">
        <v>11</v>
      </c>
      <c r="F273" t="s">
        <v>11</v>
      </c>
      <c r="G273" t="str">
        <f>T("BISMARCK")</f>
        <v>BISMARCK</v>
      </c>
      <c r="H273" t="str">
        <f>T("ND ")</f>
        <v>ND </v>
      </c>
      <c r="I273" s="1" t="str">
        <f>T("58503-1136")</f>
        <v>58503-1136</v>
      </c>
      <c r="J273" s="1" t="str">
        <f>T("701-250-7405")</f>
        <v>701-250-7405</v>
      </c>
      <c r="K273" s="1" t="str">
        <f>T("701-250-7492")</f>
        <v>701-250-7492</v>
      </c>
    </row>
    <row r="274" spans="1:11" ht="12.75">
      <c r="A274" s="1" t="s">
        <v>22</v>
      </c>
      <c r="B274" t="str">
        <f>T("GEORGIA DISTRICT")</f>
        <v>GEORGIA DISTRICT</v>
      </c>
      <c r="C274" t="str">
        <f>T("3039 AMWILER ROAD")</f>
        <v>3039 AMWILER ROAD</v>
      </c>
      <c r="D274" t="str">
        <f>T("SUITE 130")</f>
        <v>SUITE 130</v>
      </c>
      <c r="E274" t="s">
        <v>11</v>
      </c>
      <c r="F274" t="s">
        <v>11</v>
      </c>
      <c r="G274" t="str">
        <f>T("ATLANTA")</f>
        <v>ATLANTA</v>
      </c>
      <c r="H274" t="str">
        <f>T("GA ")</f>
        <v>GA </v>
      </c>
      <c r="I274" s="1">
        <f>N(30360)</f>
        <v>30360</v>
      </c>
      <c r="J274" s="1">
        <f>N(7709039100)</f>
        <v>7709039100</v>
      </c>
      <c r="K274" s="1">
        <f>N(7709039199)</f>
        <v>7709039199</v>
      </c>
    </row>
    <row r="275" spans="1:11" ht="12.75">
      <c r="A275" s="1" t="s">
        <v>22</v>
      </c>
      <c r="B275" t="str">
        <f>T("NEBRASKA CRU")</f>
        <v>NEBRASKA CRU</v>
      </c>
      <c r="C275" t="str">
        <f>T("UNIVERSITY OF NEBRASK-LINCOLN")</f>
        <v>UNIVERSITY OF NEBRASK-LINCOLN</v>
      </c>
      <c r="D275" t="str">
        <f>T("MUSSELL HALL")</f>
        <v>MUSSELL HALL</v>
      </c>
      <c r="E275" t="s">
        <v>11</v>
      </c>
      <c r="F275" t="s">
        <v>11</v>
      </c>
      <c r="G275" t="str">
        <f>T("LINCOLN")</f>
        <v>LINCOLN</v>
      </c>
      <c r="H275" t="str">
        <f>T("NE ")</f>
        <v>NE </v>
      </c>
      <c r="I275" s="1" t="str">
        <f>T("68583-7111")</f>
        <v>68583-7111</v>
      </c>
      <c r="J275" s="1">
        <f>N(9999999999)</f>
        <v>9999999999</v>
      </c>
      <c r="K275" s="1" t="s">
        <v>11</v>
      </c>
    </row>
    <row r="276" spans="1:11" ht="12.75">
      <c r="A276" s="1" t="s">
        <v>22</v>
      </c>
      <c r="B276" t="str">
        <f>T("ADMINISTRATIVE")</f>
        <v>ADMINISTRATIVE</v>
      </c>
      <c r="C276" t="str">
        <f>T("1011 E TUDOR RD")</f>
        <v>1011 E TUDOR RD</v>
      </c>
      <c r="D276" t="s">
        <v>11</v>
      </c>
      <c r="E276" t="s">
        <v>11</v>
      </c>
      <c r="F276" t="s">
        <v>11</v>
      </c>
      <c r="G276" t="str">
        <f aca="true" t="shared" si="22" ref="G276:G282">T("ANCHORAGE")</f>
        <v>ANCHORAGE</v>
      </c>
      <c r="H276" t="str">
        <f aca="true" t="shared" si="23" ref="H276:H285">T("AK ")</f>
        <v>AK </v>
      </c>
      <c r="I276" s="1">
        <f aca="true" t="shared" si="24" ref="I276:I283">N(99503)</f>
        <v>99503</v>
      </c>
      <c r="J276" s="1">
        <f aca="true" t="shared" si="25" ref="J276:J284">N(9077863338)</f>
        <v>9077863338</v>
      </c>
      <c r="K276" s="1">
        <f aca="true" t="shared" si="26" ref="K276:K284">N(9077863636)</f>
        <v>9077863636</v>
      </c>
    </row>
    <row r="277" spans="1:11" ht="12.75">
      <c r="A277" s="1" t="s">
        <v>22</v>
      </c>
      <c r="B277" t="str">
        <f>T("BIOLOGY &amp; GEOGRAPHY OFFICE")</f>
        <v>BIOLOGY &amp; GEOGRAPHY OFFICE</v>
      </c>
      <c r="C277" t="str">
        <f>T("1011 E TUDOR RD")</f>
        <v>1011 E TUDOR RD</v>
      </c>
      <c r="D277" t="s">
        <v>11</v>
      </c>
      <c r="E277" t="s">
        <v>11</v>
      </c>
      <c r="F277" t="s">
        <v>11</v>
      </c>
      <c r="G277" t="str">
        <f t="shared" si="22"/>
        <v>ANCHORAGE</v>
      </c>
      <c r="H277" t="str">
        <f t="shared" si="23"/>
        <v>AK </v>
      </c>
      <c r="I277" s="1">
        <f t="shared" si="24"/>
        <v>99503</v>
      </c>
      <c r="J277" s="1">
        <f t="shared" si="25"/>
        <v>9077863338</v>
      </c>
      <c r="K277" s="1">
        <f t="shared" si="26"/>
        <v>9077863636</v>
      </c>
    </row>
    <row r="278" spans="1:11" ht="12.75">
      <c r="A278" s="1" t="s">
        <v>22</v>
      </c>
      <c r="B278" t="str">
        <f>T("IT")</f>
        <v>IT</v>
      </c>
      <c r="C278" t="str">
        <f>T("1011 E TUDOR RD")</f>
        <v>1011 E TUDOR RD</v>
      </c>
      <c r="D278" t="s">
        <v>11</v>
      </c>
      <c r="E278" t="s">
        <v>11</v>
      </c>
      <c r="F278" t="s">
        <v>11</v>
      </c>
      <c r="G278" t="str">
        <f t="shared" si="22"/>
        <v>ANCHORAGE</v>
      </c>
      <c r="H278" t="str">
        <f t="shared" si="23"/>
        <v>AK </v>
      </c>
      <c r="I278" s="1">
        <f t="shared" si="24"/>
        <v>99503</v>
      </c>
      <c r="J278" s="1">
        <f t="shared" si="25"/>
        <v>9077863338</v>
      </c>
      <c r="K278" s="1">
        <f t="shared" si="26"/>
        <v>9077863636</v>
      </c>
    </row>
    <row r="279" spans="1:11" ht="12.75">
      <c r="A279" s="1" t="s">
        <v>22</v>
      </c>
      <c r="B279" t="str">
        <f>T("MARINE AND FRESH WATER")</f>
        <v>MARINE AND FRESH WATER</v>
      </c>
      <c r="C279" t="str">
        <f>T("1011 E TUDOR RD")</f>
        <v>1011 E TUDOR RD</v>
      </c>
      <c r="D279" t="s">
        <v>11</v>
      </c>
      <c r="E279" t="s">
        <v>11</v>
      </c>
      <c r="F279" t="s">
        <v>11</v>
      </c>
      <c r="G279" t="str">
        <f t="shared" si="22"/>
        <v>ANCHORAGE</v>
      </c>
      <c r="H279" t="str">
        <f t="shared" si="23"/>
        <v>AK </v>
      </c>
      <c r="I279" s="1">
        <f t="shared" si="24"/>
        <v>99503</v>
      </c>
      <c r="J279" s="1">
        <f t="shared" si="25"/>
        <v>9077863338</v>
      </c>
      <c r="K279" s="1">
        <f t="shared" si="26"/>
        <v>9077863636</v>
      </c>
    </row>
    <row r="280" spans="1:11" ht="12.75">
      <c r="A280" s="1" t="s">
        <v>22</v>
      </c>
      <c r="B280" t="str">
        <f>T("WETLANDS &amp; TERRISTERIAL")</f>
        <v>WETLANDS &amp; TERRISTERIAL</v>
      </c>
      <c r="C280" t="str">
        <f>T("1011 E TUDOR RD")</f>
        <v>1011 E TUDOR RD</v>
      </c>
      <c r="D280" t="s">
        <v>11</v>
      </c>
      <c r="E280" t="s">
        <v>11</v>
      </c>
      <c r="F280" t="s">
        <v>11</v>
      </c>
      <c r="G280" t="str">
        <f t="shared" si="22"/>
        <v>ANCHORAGE</v>
      </c>
      <c r="H280" t="str">
        <f t="shared" si="23"/>
        <v>AK </v>
      </c>
      <c r="I280" s="1">
        <f t="shared" si="24"/>
        <v>99503</v>
      </c>
      <c r="J280" s="1">
        <f t="shared" si="25"/>
        <v>9077863338</v>
      </c>
      <c r="K280" s="1">
        <f t="shared" si="26"/>
        <v>9077863636</v>
      </c>
    </row>
    <row r="281" spans="1:11" ht="12.75">
      <c r="A281" s="1" t="s">
        <v>22</v>
      </c>
      <c r="B281" t="str">
        <f>T("WATER OFFICE")</f>
        <v>WATER OFFICE</v>
      </c>
      <c r="C281" t="str">
        <f>T("4230 UNIVERSITY DR")</f>
        <v>4230 UNIVERSITY DR</v>
      </c>
      <c r="D281" t="str">
        <f>T("SUITE 201")</f>
        <v>SUITE 201</v>
      </c>
      <c r="E281" t="s">
        <v>11</v>
      </c>
      <c r="F281" t="s">
        <v>11</v>
      </c>
      <c r="G281" t="str">
        <f t="shared" si="22"/>
        <v>ANCHORAGE</v>
      </c>
      <c r="H281" t="str">
        <f t="shared" si="23"/>
        <v>AK </v>
      </c>
      <c r="I281" s="1">
        <f t="shared" si="24"/>
        <v>99503</v>
      </c>
      <c r="J281" s="1">
        <f t="shared" si="25"/>
        <v>9077863338</v>
      </c>
      <c r="K281" s="1">
        <f t="shared" si="26"/>
        <v>9077863636</v>
      </c>
    </row>
    <row r="282" spans="1:11" ht="12.75">
      <c r="A282" s="1" t="s">
        <v>22</v>
      </c>
      <c r="B282" t="str">
        <f>T("ANCHORAGE FIELD OFC")</f>
        <v>ANCHORAGE FIELD OFC</v>
      </c>
      <c r="C282" t="str">
        <f>T("1011 E TUDOR RD")</f>
        <v>1011 E TUDOR RD</v>
      </c>
      <c r="D282" t="s">
        <v>11</v>
      </c>
      <c r="E282" t="s">
        <v>11</v>
      </c>
      <c r="F282" t="s">
        <v>11</v>
      </c>
      <c r="G282" t="str">
        <f t="shared" si="22"/>
        <v>ANCHORAGE</v>
      </c>
      <c r="H282" t="str">
        <f t="shared" si="23"/>
        <v>AK </v>
      </c>
      <c r="I282" s="1">
        <f t="shared" si="24"/>
        <v>99503</v>
      </c>
      <c r="J282" s="1">
        <f t="shared" si="25"/>
        <v>9077863338</v>
      </c>
      <c r="K282" s="1">
        <f t="shared" si="26"/>
        <v>9077863636</v>
      </c>
    </row>
    <row r="283" spans="1:11" ht="12.75">
      <c r="A283" s="1" t="s">
        <v>22</v>
      </c>
      <c r="B283" t="str">
        <f>T("JUNEAU FIELD OFC")</f>
        <v>JUNEAU FIELD OFC</v>
      </c>
      <c r="C283" t="str">
        <f>T("1641 W WILLOUGHBY AVE")</f>
        <v>1641 W WILLOUGHBY AVE</v>
      </c>
      <c r="D283" t="str">
        <f>T("RM 202 FOODLAND ANNEX")</f>
        <v>RM 202 FOODLAND ANNEX</v>
      </c>
      <c r="E283" t="s">
        <v>11</v>
      </c>
      <c r="F283" t="s">
        <v>11</v>
      </c>
      <c r="G283" t="str">
        <f>T("JUNEAU")</f>
        <v>JUNEAU</v>
      </c>
      <c r="H283" t="str">
        <f t="shared" si="23"/>
        <v>AK </v>
      </c>
      <c r="I283" s="1">
        <f t="shared" si="24"/>
        <v>99503</v>
      </c>
      <c r="J283" s="1">
        <f t="shared" si="25"/>
        <v>9077863338</v>
      </c>
      <c r="K283" s="1">
        <f t="shared" si="26"/>
        <v>9077863636</v>
      </c>
    </row>
    <row r="284" spans="1:11" ht="12.75">
      <c r="A284" s="1" t="s">
        <v>22</v>
      </c>
      <c r="B284" t="str">
        <f>T("FAIRBANKS FIELD OFC")</f>
        <v>FAIRBANKS FIELD OFC</v>
      </c>
      <c r="C284" t="str">
        <f>T("3400 SHELL ST")</f>
        <v>3400 SHELL ST</v>
      </c>
      <c r="D284" t="s">
        <v>11</v>
      </c>
      <c r="E284" t="s">
        <v>11</v>
      </c>
      <c r="F284" t="s">
        <v>11</v>
      </c>
      <c r="G284" t="str">
        <f>T("FAIRBANKS")</f>
        <v>FAIRBANKS</v>
      </c>
      <c r="H284" t="str">
        <f t="shared" si="23"/>
        <v>AK </v>
      </c>
      <c r="I284" s="1">
        <f>N(99701)</f>
        <v>99701</v>
      </c>
      <c r="J284" s="1">
        <f t="shared" si="25"/>
        <v>9077863338</v>
      </c>
      <c r="K284" s="1">
        <f t="shared" si="26"/>
        <v>9077863636</v>
      </c>
    </row>
    <row r="285" spans="1:11" ht="12.75">
      <c r="A285" s="1" t="s">
        <v>22</v>
      </c>
      <c r="B285" t="str">
        <f>T("GEOLOGY-MINERALS OFFICE")</f>
        <v>GEOLOGY-MINERALS OFFICE</v>
      </c>
      <c r="C285" t="str">
        <f>T("4200 UNIVERSITY DRIVE")</f>
        <v>4200 UNIVERSITY DRIVE</v>
      </c>
      <c r="D285" t="s">
        <v>11</v>
      </c>
      <c r="E285" t="s">
        <v>11</v>
      </c>
      <c r="F285" t="s">
        <v>11</v>
      </c>
      <c r="G285" t="str">
        <f>T("ANCHORAGE")</f>
        <v>ANCHORAGE</v>
      </c>
      <c r="H285" t="str">
        <f t="shared" si="23"/>
        <v>AK </v>
      </c>
      <c r="I285" s="1">
        <f>N(99508)</f>
        <v>99508</v>
      </c>
      <c r="J285" s="1">
        <f>N(9077867113)</f>
        <v>9077867113</v>
      </c>
      <c r="K285" s="1">
        <f>N(9077867150)</f>
        <v>9077867150</v>
      </c>
    </row>
    <row r="286" spans="1:11" ht="12.75">
      <c r="A286" s="1" t="s">
        <v>22</v>
      </c>
      <c r="B286" t="str">
        <f>T("HAZARDS AVO")</f>
        <v>HAZARDS AVO</v>
      </c>
      <c r="C286" t="str">
        <f>T("12201 SUNRISE VALLEY DR")</f>
        <v>12201 SUNRISE VALLEY DR</v>
      </c>
      <c r="D286" t="s">
        <v>11</v>
      </c>
      <c r="E286" t="s">
        <v>11</v>
      </c>
      <c r="F286" t="s">
        <v>11</v>
      </c>
      <c r="G286" t="str">
        <f>T("RESTON")</f>
        <v>RESTON</v>
      </c>
      <c r="H286" t="str">
        <f>T("VA ")</f>
        <v>VA </v>
      </c>
      <c r="I286" s="1">
        <f>N(20192)</f>
        <v>20192</v>
      </c>
      <c r="J286" s="1" t="str">
        <f>T("703 648 7350")</f>
        <v>703 648 7350</v>
      </c>
      <c r="K286" s="1" t="s">
        <v>11</v>
      </c>
    </row>
    <row r="287" spans="1:11" ht="12.75">
      <c r="A287" s="1" t="s">
        <v>22</v>
      </c>
      <c r="B287" t="str">
        <f>T("CR RGIO")</f>
        <v>CR RGIO</v>
      </c>
      <c r="C287" t="str">
        <f aca="true" t="shared" si="27" ref="C287:C294">T("MS 306")</f>
        <v>MS 306</v>
      </c>
      <c r="D287" t="str">
        <f aca="true" t="shared" si="28" ref="D287:D294">T("BOX 25286")</f>
        <v>BOX 25286</v>
      </c>
      <c r="E287" t="s">
        <v>11</v>
      </c>
      <c r="F287" t="s">
        <v>11</v>
      </c>
      <c r="G287" t="str">
        <f aca="true" t="shared" si="29" ref="G287:G294">T("DENVER")</f>
        <v>DENVER</v>
      </c>
      <c r="H287" t="str">
        <f aca="true" t="shared" si="30" ref="H287:H294">T("CO ")</f>
        <v>CO </v>
      </c>
      <c r="I287" s="1">
        <f aca="true" t="shared" si="31" ref="I287:I294">N(80225)</f>
        <v>80225</v>
      </c>
      <c r="J287" s="1" t="str">
        <f>T("302 202 4692")</f>
        <v>302 202 4692</v>
      </c>
      <c r="K287" s="1" t="str">
        <f>T("302 202 4694")</f>
        <v>302 202 4694</v>
      </c>
    </row>
    <row r="288" spans="1:11" ht="12.75">
      <c r="A288" s="1" t="s">
        <v>22</v>
      </c>
      <c r="B288" t="str">
        <f>T("IT SECURITY")</f>
        <v>IT SECURITY</v>
      </c>
      <c r="C288" t="str">
        <f t="shared" si="27"/>
        <v>MS 306</v>
      </c>
      <c r="D288" t="str">
        <f t="shared" si="28"/>
        <v>BOX 25286</v>
      </c>
      <c r="E288" t="s">
        <v>11</v>
      </c>
      <c r="F288" t="s">
        <v>11</v>
      </c>
      <c r="G288" t="str">
        <f t="shared" si="29"/>
        <v>DENVER</v>
      </c>
      <c r="H288" t="str">
        <f t="shared" si="30"/>
        <v>CO </v>
      </c>
      <c r="I288" s="1">
        <f t="shared" si="31"/>
        <v>80225</v>
      </c>
      <c r="J288" s="1" t="str">
        <f>T("302 202 4692")</f>
        <v>302 202 4692</v>
      </c>
      <c r="K288" s="1" t="str">
        <f>T("302 202 4694")</f>
        <v>302 202 4694</v>
      </c>
    </row>
    <row r="289" spans="1:11" ht="12.75">
      <c r="A289" s="1" t="s">
        <v>22</v>
      </c>
      <c r="B289" t="str">
        <f>T("LIBRARY SERVICES")</f>
        <v>LIBRARY SERVICES</v>
      </c>
      <c r="C289" t="str">
        <f t="shared" si="27"/>
        <v>MS 306</v>
      </c>
      <c r="D289" t="str">
        <f t="shared" si="28"/>
        <v>BOX 25286</v>
      </c>
      <c r="E289" t="s">
        <v>11</v>
      </c>
      <c r="F289" t="s">
        <v>11</v>
      </c>
      <c r="G289" t="str">
        <f t="shared" si="29"/>
        <v>DENVER</v>
      </c>
      <c r="H289" t="str">
        <f t="shared" si="30"/>
        <v>CO </v>
      </c>
      <c r="I289" s="1">
        <f t="shared" si="31"/>
        <v>80225</v>
      </c>
      <c r="J289" s="1" t="str">
        <f>T("302 202 4692")</f>
        <v>302 202 4692</v>
      </c>
      <c r="K289" s="1" t="str">
        <f>T("302 202 4694")</f>
        <v>302 202 4694</v>
      </c>
    </row>
    <row r="290" spans="1:11" ht="12.75">
      <c r="A290" s="1" t="s">
        <v>22</v>
      </c>
      <c r="B290" t="str">
        <f>T("ESIC-ROLLA")</f>
        <v>ESIC-ROLLA</v>
      </c>
      <c r="C290" t="str">
        <f t="shared" si="27"/>
        <v>MS 306</v>
      </c>
      <c r="D290" t="str">
        <f t="shared" si="28"/>
        <v>BOX 25286</v>
      </c>
      <c r="E290" t="s">
        <v>11</v>
      </c>
      <c r="F290" t="s">
        <v>11</v>
      </c>
      <c r="G290" t="str">
        <f t="shared" si="29"/>
        <v>DENVER</v>
      </c>
      <c r="H290" t="str">
        <f t="shared" si="30"/>
        <v>CO </v>
      </c>
      <c r="I290" s="1">
        <f t="shared" si="31"/>
        <v>80225</v>
      </c>
      <c r="J290" s="1" t="str">
        <f>T("302 202 4692")</f>
        <v>302 202 4692</v>
      </c>
      <c r="K290" s="1" t="str">
        <f>T("302 202 4694")</f>
        <v>302 202 4694</v>
      </c>
    </row>
    <row r="291" spans="1:11" ht="12.75">
      <c r="A291" s="1" t="s">
        <v>22</v>
      </c>
      <c r="B291" t="str">
        <f>T("INFORMATION DELIVERY")</f>
        <v>INFORMATION DELIVERY</v>
      </c>
      <c r="C291" t="str">
        <f t="shared" si="27"/>
        <v>MS 306</v>
      </c>
      <c r="D291" t="str">
        <f t="shared" si="28"/>
        <v>BOX 25286</v>
      </c>
      <c r="E291" t="s">
        <v>11</v>
      </c>
      <c r="F291" t="s">
        <v>11</v>
      </c>
      <c r="G291" t="str">
        <f t="shared" si="29"/>
        <v>DENVER</v>
      </c>
      <c r="H291" t="str">
        <f t="shared" si="30"/>
        <v>CO </v>
      </c>
      <c r="I291" s="1">
        <f t="shared" si="31"/>
        <v>80225</v>
      </c>
      <c r="J291" s="1" t="str">
        <f>T("303 202 4692")</f>
        <v>303 202 4692</v>
      </c>
      <c r="K291" s="1" t="str">
        <f>T("303 202 4694")</f>
        <v>303 202 4694</v>
      </c>
    </row>
    <row r="292" spans="1:11" ht="12.75">
      <c r="A292" s="1" t="s">
        <v>22</v>
      </c>
      <c r="B292" t="str">
        <f>T("INFORMATION TECHNOLOGY BRANCH")</f>
        <v>INFORMATION TECHNOLOGY BRANCH</v>
      </c>
      <c r="C292" t="str">
        <f t="shared" si="27"/>
        <v>MS 306</v>
      </c>
      <c r="D292" t="str">
        <f t="shared" si="28"/>
        <v>BOX 25286</v>
      </c>
      <c r="E292" t="s">
        <v>11</v>
      </c>
      <c r="F292" t="s">
        <v>11</v>
      </c>
      <c r="G292" t="str">
        <f t="shared" si="29"/>
        <v>DENVER</v>
      </c>
      <c r="H292" t="str">
        <f t="shared" si="30"/>
        <v>CO </v>
      </c>
      <c r="I292" s="1">
        <f t="shared" si="31"/>
        <v>80225</v>
      </c>
      <c r="J292" s="1" t="str">
        <f>T("303 202 4692")</f>
        <v>303 202 4692</v>
      </c>
      <c r="K292" s="1" t="str">
        <f>T("303 202 4694")</f>
        <v>303 202 4694</v>
      </c>
    </row>
    <row r="293" spans="1:11" ht="12.75">
      <c r="A293" s="1" t="s">
        <v>22</v>
      </c>
      <c r="B293" t="str">
        <f>T("REGIONAL INFRASTRUCTURE SUPP T")</f>
        <v>REGIONAL INFRASTRUCTURE SUPP T</v>
      </c>
      <c r="C293" t="str">
        <f t="shared" si="27"/>
        <v>MS 306</v>
      </c>
      <c r="D293" t="str">
        <f t="shared" si="28"/>
        <v>BOX 25286</v>
      </c>
      <c r="E293" t="s">
        <v>11</v>
      </c>
      <c r="F293" t="s">
        <v>11</v>
      </c>
      <c r="G293" t="str">
        <f t="shared" si="29"/>
        <v>DENVER</v>
      </c>
      <c r="H293" t="str">
        <f t="shared" si="30"/>
        <v>CO </v>
      </c>
      <c r="I293" s="1">
        <f t="shared" si="31"/>
        <v>80225</v>
      </c>
      <c r="J293" s="1" t="str">
        <f>T("303 202 4692")</f>
        <v>303 202 4692</v>
      </c>
      <c r="K293" s="1" t="str">
        <f>T("303 202 4694")</f>
        <v>303 202 4694</v>
      </c>
    </row>
    <row r="294" spans="1:11" ht="12.75">
      <c r="A294" s="1" t="s">
        <v>22</v>
      </c>
      <c r="B294" t="str">
        <f>T("PARTNERSHIPS OFFICE")</f>
        <v>PARTNERSHIPS OFFICE</v>
      </c>
      <c r="C294" t="str">
        <f t="shared" si="27"/>
        <v>MS 306</v>
      </c>
      <c r="D294" t="str">
        <f t="shared" si="28"/>
        <v>BOX 25286</v>
      </c>
      <c r="E294" t="s">
        <v>11</v>
      </c>
      <c r="F294" t="s">
        <v>11</v>
      </c>
      <c r="G294" t="str">
        <f t="shared" si="29"/>
        <v>DENVER</v>
      </c>
      <c r="H294" t="str">
        <f t="shared" si="30"/>
        <v>CO </v>
      </c>
      <c r="I294" s="1">
        <f t="shared" si="31"/>
        <v>80225</v>
      </c>
      <c r="J294" s="1" t="str">
        <f>T("303 202 4692")</f>
        <v>303 202 4692</v>
      </c>
      <c r="K294" s="1" t="str">
        <f>T("303 202 4694")</f>
        <v>303 202 4694</v>
      </c>
    </row>
    <row r="295" spans="1:11" ht="12.75">
      <c r="A295" s="1" t="s">
        <v>22</v>
      </c>
      <c r="B295" t="str">
        <f>T("REGIONAL GIO")</f>
        <v>REGIONAL GIO</v>
      </c>
      <c r="C295" t="str">
        <f>T("MODOC HALL SUITE 4005 CSUS CAMPUS")</f>
        <v>MODOC HALL SUITE 4005 CSUS CAMPUS</v>
      </c>
      <c r="D295" t="str">
        <f>T("3020 STATE UNIV DRIVE EAST")</f>
        <v>3020 STATE UNIV DRIVE EAST</v>
      </c>
      <c r="E295" t="s">
        <v>11</v>
      </c>
      <c r="F295" t="s">
        <v>11</v>
      </c>
      <c r="G295" t="str">
        <f>T("SACRAMENTO")</f>
        <v>SACRAMENTO</v>
      </c>
      <c r="H295" t="str">
        <f>T("CA ")</f>
        <v>CA </v>
      </c>
      <c r="I295" s="1">
        <f>N(95819)</f>
        <v>95819</v>
      </c>
      <c r="J295" s="1" t="str">
        <f>T("916 278 9359")</f>
        <v>916 278 9359</v>
      </c>
      <c r="K295" s="1" t="s">
        <v>11</v>
      </c>
    </row>
    <row r="296" spans="1:11" ht="12.75">
      <c r="A296" s="1" t="s">
        <v>22</v>
      </c>
      <c r="B296" t="str">
        <f>T("NGTOC")</f>
        <v>NGTOC</v>
      </c>
      <c r="C296" t="str">
        <f>T("USGS NATIONAL CENTER")</f>
        <v>USGS NATIONAL CENTER</v>
      </c>
      <c r="D296" t="str">
        <f>T("12201 SUNRISE VALLEY DRIVE MS 170")</f>
        <v>12201 SUNRISE VALLEY DRIVE MS 170</v>
      </c>
      <c r="E296" t="s">
        <v>11</v>
      </c>
      <c r="F296" t="s">
        <v>11</v>
      </c>
      <c r="G296" t="str">
        <f>T("RESTON")</f>
        <v>RESTON</v>
      </c>
      <c r="H296" t="str">
        <f>T("VA ")</f>
        <v>VA </v>
      </c>
      <c r="I296" s="1">
        <f>N(20192)</f>
        <v>20192</v>
      </c>
      <c r="J296" s="1">
        <f aca="true" t="shared" si="32" ref="J296:J303">N(7036487350)</f>
        <v>7036487350</v>
      </c>
      <c r="K296" s="1" t="s">
        <v>11</v>
      </c>
    </row>
    <row r="297" spans="1:11" ht="12.75">
      <c r="A297" s="1" t="s">
        <v>22</v>
      </c>
      <c r="B297" t="str">
        <f>T("OFFICE 2 - DENVER")</f>
        <v>OFFICE 2 - DENVER</v>
      </c>
      <c r="C297" t="str">
        <f>T("BOX 25046 DFC MS 508")</f>
        <v>BOX 25046 DFC MS 508</v>
      </c>
      <c r="D297" t="s">
        <v>11</v>
      </c>
      <c r="E297" t="s">
        <v>11</v>
      </c>
      <c r="F297" t="s">
        <v>11</v>
      </c>
      <c r="G297" t="str">
        <f>T("DENVER")</f>
        <v>DENVER</v>
      </c>
      <c r="H297" t="str">
        <f>T("CO ")</f>
        <v>CO </v>
      </c>
      <c r="I297" s="1">
        <f>N(80225)</f>
        <v>80225</v>
      </c>
      <c r="J297" s="1">
        <f t="shared" si="32"/>
        <v>7036487350</v>
      </c>
      <c r="K297" s="1" t="s">
        <v>11</v>
      </c>
    </row>
    <row r="298" spans="1:11" ht="12.75">
      <c r="A298" s="1" t="s">
        <v>22</v>
      </c>
      <c r="B298" t="str">
        <f>T("OFFICE 3 - ROLLA")</f>
        <v>OFFICE 3 - ROLLA</v>
      </c>
      <c r="C298" t="str">
        <f>T("1400 INDEPENDENCE RD MS 701")</f>
        <v>1400 INDEPENDENCE RD MS 701</v>
      </c>
      <c r="D298" t="s">
        <v>11</v>
      </c>
      <c r="E298" t="s">
        <v>11</v>
      </c>
      <c r="F298" t="s">
        <v>11</v>
      </c>
      <c r="G298" t="str">
        <f>T("ROLLA")</f>
        <v>ROLLA</v>
      </c>
      <c r="H298" t="str">
        <f>T("MO ")</f>
        <v>MO </v>
      </c>
      <c r="I298" s="1">
        <f>N(65401)</f>
        <v>65401</v>
      </c>
      <c r="J298" s="1">
        <f t="shared" si="32"/>
        <v>7036487350</v>
      </c>
      <c r="K298" s="1" t="s">
        <v>11</v>
      </c>
    </row>
    <row r="299" spans="1:11" ht="12.75">
      <c r="A299" s="1" t="s">
        <v>22</v>
      </c>
      <c r="B299" t="str">
        <f>T("ER-RGIO")</f>
        <v>ER-RGIO</v>
      </c>
      <c r="C299" t="str">
        <f>T("150 NATIONAL CENTER")</f>
        <v>150 NATIONAL CENTER</v>
      </c>
      <c r="D299" t="s">
        <v>11</v>
      </c>
      <c r="E299" t="s">
        <v>11</v>
      </c>
      <c r="F299" t="s">
        <v>11</v>
      </c>
      <c r="G299" t="str">
        <f>T("RESTON")</f>
        <v>RESTON</v>
      </c>
      <c r="H299" t="str">
        <f>T("VA ")</f>
        <v>VA </v>
      </c>
      <c r="I299" s="1">
        <f>N(20192)</f>
        <v>20192</v>
      </c>
      <c r="J299" s="1">
        <f t="shared" si="32"/>
        <v>7036487350</v>
      </c>
      <c r="K299" s="1" t="s">
        <v>11</v>
      </c>
    </row>
    <row r="300" spans="1:11" ht="12.75">
      <c r="A300" s="1" t="s">
        <v>22</v>
      </c>
      <c r="B300" t="str">
        <f>T("NATURAL SCIENCE NETWORK")</f>
        <v>NATURAL SCIENCE NETWORK</v>
      </c>
      <c r="C300" t="str">
        <f>T("150 NATIONAL CENTER")</f>
        <v>150 NATIONAL CENTER</v>
      </c>
      <c r="D300" t="s">
        <v>11</v>
      </c>
      <c r="E300" t="s">
        <v>11</v>
      </c>
      <c r="F300" t="s">
        <v>11</v>
      </c>
      <c r="G300" t="str">
        <f>T("RESTON")</f>
        <v>RESTON</v>
      </c>
      <c r="H300" t="str">
        <f>T("VA ")</f>
        <v>VA </v>
      </c>
      <c r="I300" s="1">
        <f>N(20192)</f>
        <v>20192</v>
      </c>
      <c r="J300" s="1">
        <f t="shared" si="32"/>
        <v>7036487350</v>
      </c>
      <c r="K300" s="1" t="s">
        <v>11</v>
      </c>
    </row>
    <row r="301" spans="1:11" ht="12.75">
      <c r="A301" s="1" t="s">
        <v>22</v>
      </c>
      <c r="B301" t="str">
        <f>T("INFORMATION TECHNOLOGY")</f>
        <v>INFORMATION TECHNOLOGY</v>
      </c>
      <c r="C301" t="str">
        <f>T("150 NATIONAL CENTER")</f>
        <v>150 NATIONAL CENTER</v>
      </c>
      <c r="D301" t="s">
        <v>11</v>
      </c>
      <c r="E301" t="s">
        <v>11</v>
      </c>
      <c r="F301" t="s">
        <v>11</v>
      </c>
      <c r="G301" t="str">
        <f>T("RESTON")</f>
        <v>RESTON</v>
      </c>
      <c r="H301" t="str">
        <f>T("VA ")</f>
        <v>VA </v>
      </c>
      <c r="I301" s="1">
        <f>N(20192)</f>
        <v>20192</v>
      </c>
      <c r="J301" s="1">
        <f t="shared" si="32"/>
        <v>7036487350</v>
      </c>
      <c r="K301" s="1" t="s">
        <v>11</v>
      </c>
    </row>
    <row r="302" spans="1:11" ht="12.75">
      <c r="A302" s="1" t="s">
        <v>22</v>
      </c>
      <c r="B302" t="str">
        <f>T("VISUAL INFORMATION")</f>
        <v>VISUAL INFORMATION</v>
      </c>
      <c r="C302" t="str">
        <f>T("150 NATIONAL CENTER")</f>
        <v>150 NATIONAL CENTER</v>
      </c>
      <c r="D302" t="s">
        <v>11</v>
      </c>
      <c r="E302" t="s">
        <v>11</v>
      </c>
      <c r="F302" t="s">
        <v>11</v>
      </c>
      <c r="G302" t="str">
        <f>T("RESTON")</f>
        <v>RESTON</v>
      </c>
      <c r="H302" t="str">
        <f>T("VA ")</f>
        <v>VA </v>
      </c>
      <c r="I302" s="1">
        <f>N(20192)</f>
        <v>20192</v>
      </c>
      <c r="J302" s="1">
        <f t="shared" si="32"/>
        <v>7036487350</v>
      </c>
      <c r="K302" s="1" t="s">
        <v>11</v>
      </c>
    </row>
    <row r="303" spans="1:11" ht="12.75">
      <c r="A303" s="1" t="s">
        <v>22</v>
      </c>
      <c r="B303" t="str">
        <f>T("ENTERPRISE PUBLICATION NETWORK")</f>
        <v>ENTERPRISE PUBLICATION NETWORK</v>
      </c>
      <c r="C303" t="str">
        <f>T("MODOC HALL SUITE 4005 CSUS CAMPUS")</f>
        <v>MODOC HALL SUITE 4005 CSUS CAMPUS</v>
      </c>
      <c r="D303" t="str">
        <f>T("3020 STATE UNIV DRIVE EAST")</f>
        <v>3020 STATE UNIV DRIVE EAST</v>
      </c>
      <c r="E303" t="s">
        <v>11</v>
      </c>
      <c r="F303" t="s">
        <v>11</v>
      </c>
      <c r="G303" t="str">
        <f>T("SACRAMENTO")</f>
        <v>SACRAMENTO</v>
      </c>
      <c r="H303" t="str">
        <f>T("CA ")</f>
        <v>CA </v>
      </c>
      <c r="I303" s="1">
        <f>N(95819)</f>
        <v>95819</v>
      </c>
      <c r="J303" s="1">
        <f t="shared" si="32"/>
        <v>7036487350</v>
      </c>
      <c r="K303" s="1" t="s">
        <v>11</v>
      </c>
    </row>
    <row r="304" spans="1:11" ht="12.75">
      <c r="A304" s="1" t="s">
        <v>22</v>
      </c>
      <c r="B304" t="str">
        <f>T("EROS DATA CENTER")</f>
        <v>EROS DATA CENTER</v>
      </c>
      <c r="C304" t="str">
        <f aca="true" t="shared" si="33" ref="C304:C309">T("USGS")</f>
        <v>USGS</v>
      </c>
      <c r="D304" t="str">
        <f aca="true" t="shared" si="34" ref="D304:D309">T("MS 205")</f>
        <v>MS 205</v>
      </c>
      <c r="E304" t="s">
        <v>11</v>
      </c>
      <c r="F304" t="s">
        <v>11</v>
      </c>
      <c r="G304" t="str">
        <f aca="true" t="shared" si="35" ref="G304:G309">T("RESTON")</f>
        <v>RESTON</v>
      </c>
      <c r="H304" t="str">
        <f aca="true" t="shared" si="36" ref="H304:H309">T("VA ")</f>
        <v>VA </v>
      </c>
      <c r="I304" s="1">
        <f aca="true" t="shared" si="37" ref="I304:I309">N(20192)</f>
        <v>20192</v>
      </c>
      <c r="J304" s="1">
        <f>N(7036497350)</f>
        <v>7036497350</v>
      </c>
      <c r="K304" s="1" t="s">
        <v>11</v>
      </c>
    </row>
    <row r="305" spans="1:11" ht="12.75">
      <c r="A305" s="1" t="s">
        <v>22</v>
      </c>
      <c r="B305" t="str">
        <f>T("ADMIN &amp; FINANCE")</f>
        <v>ADMIN &amp; FINANCE</v>
      </c>
      <c r="C305" t="str">
        <f t="shared" si="33"/>
        <v>USGS</v>
      </c>
      <c r="D305" t="str">
        <f t="shared" si="34"/>
        <v>MS 205</v>
      </c>
      <c r="E305" t="s">
        <v>11</v>
      </c>
      <c r="F305" t="s">
        <v>11</v>
      </c>
      <c r="G305" t="str">
        <f t="shared" si="35"/>
        <v>RESTON</v>
      </c>
      <c r="H305" t="str">
        <f t="shared" si="36"/>
        <v>VA </v>
      </c>
      <c r="I305" s="1">
        <f t="shared" si="37"/>
        <v>20192</v>
      </c>
      <c r="J305" s="1">
        <f aca="true" t="shared" si="38" ref="J305:J311">N(7036487350)</f>
        <v>7036487350</v>
      </c>
      <c r="K305" s="1" t="s">
        <v>11</v>
      </c>
    </row>
    <row r="306" spans="1:11" ht="12.75">
      <c r="A306" s="1" t="s">
        <v>22</v>
      </c>
      <c r="B306" t="str">
        <f>T("DATA SERVICES BRANCH")</f>
        <v>DATA SERVICES BRANCH</v>
      </c>
      <c r="C306" t="str">
        <f t="shared" si="33"/>
        <v>USGS</v>
      </c>
      <c r="D306" t="str">
        <f t="shared" si="34"/>
        <v>MS 205</v>
      </c>
      <c r="E306" t="s">
        <v>11</v>
      </c>
      <c r="F306" t="s">
        <v>11</v>
      </c>
      <c r="G306" t="str">
        <f t="shared" si="35"/>
        <v>RESTON</v>
      </c>
      <c r="H306" t="str">
        <f t="shared" si="36"/>
        <v>VA </v>
      </c>
      <c r="I306" s="1">
        <f t="shared" si="37"/>
        <v>20192</v>
      </c>
      <c r="J306" s="1">
        <f t="shared" si="38"/>
        <v>7036487350</v>
      </c>
      <c r="K306" s="1" t="s">
        <v>11</v>
      </c>
    </row>
    <row r="307" spans="1:11" ht="12.75">
      <c r="A307" s="1" t="s">
        <v>22</v>
      </c>
      <c r="B307" t="str">
        <f>T("COMPUTER SERVICES BRANCH")</f>
        <v>COMPUTER SERVICES BRANCH</v>
      </c>
      <c r="C307" t="str">
        <f t="shared" si="33"/>
        <v>USGS</v>
      </c>
      <c r="D307" t="str">
        <f t="shared" si="34"/>
        <v>MS 205</v>
      </c>
      <c r="E307" t="s">
        <v>11</v>
      </c>
      <c r="F307" t="s">
        <v>11</v>
      </c>
      <c r="G307" t="str">
        <f t="shared" si="35"/>
        <v>RESTON</v>
      </c>
      <c r="H307" t="str">
        <f t="shared" si="36"/>
        <v>VA </v>
      </c>
      <c r="I307" s="1">
        <f t="shared" si="37"/>
        <v>20192</v>
      </c>
      <c r="J307" s="1">
        <f t="shared" si="38"/>
        <v>7036487350</v>
      </c>
      <c r="K307" s="1" t="s">
        <v>11</v>
      </c>
    </row>
    <row r="308" spans="1:11" ht="12.75">
      <c r="A308" s="1" t="s">
        <v>22</v>
      </c>
      <c r="B308" t="str">
        <f>T("SCIENCE &amp; APPLICATIONS BRANCH")</f>
        <v>SCIENCE &amp; APPLICATIONS BRANCH</v>
      </c>
      <c r="C308" t="str">
        <f t="shared" si="33"/>
        <v>USGS</v>
      </c>
      <c r="D308" t="str">
        <f t="shared" si="34"/>
        <v>MS 205</v>
      </c>
      <c r="E308" t="s">
        <v>11</v>
      </c>
      <c r="F308" t="s">
        <v>11</v>
      </c>
      <c r="G308" t="str">
        <f t="shared" si="35"/>
        <v>RESTON</v>
      </c>
      <c r="H308" t="str">
        <f t="shared" si="36"/>
        <v>VA </v>
      </c>
      <c r="I308" s="1">
        <f t="shared" si="37"/>
        <v>20192</v>
      </c>
      <c r="J308" s="1">
        <f t="shared" si="38"/>
        <v>7036487350</v>
      </c>
      <c r="K308" s="1" t="s">
        <v>11</v>
      </c>
    </row>
    <row r="309" spans="1:11" ht="12.75">
      <c r="A309" s="1" t="s">
        <v>22</v>
      </c>
      <c r="B309" t="str">
        <f>T("SATELLITE SYSTEMS BRANCH")</f>
        <v>SATELLITE SYSTEMS BRANCH</v>
      </c>
      <c r="C309" t="str">
        <f t="shared" si="33"/>
        <v>USGS</v>
      </c>
      <c r="D309" t="str">
        <f t="shared" si="34"/>
        <v>MS 205</v>
      </c>
      <c r="E309" t="s">
        <v>11</v>
      </c>
      <c r="F309" t="s">
        <v>11</v>
      </c>
      <c r="G309" t="str">
        <f t="shared" si="35"/>
        <v>RESTON</v>
      </c>
      <c r="H309" t="str">
        <f t="shared" si="36"/>
        <v>VA </v>
      </c>
      <c r="I309" s="1">
        <f t="shared" si="37"/>
        <v>20192</v>
      </c>
      <c r="J309" s="1">
        <f t="shared" si="38"/>
        <v>7036487350</v>
      </c>
      <c r="K309" s="1" t="s">
        <v>11</v>
      </c>
    </row>
    <row r="310" spans="1:11" ht="12.75">
      <c r="A310" s="1" t="s">
        <v>22</v>
      </c>
      <c r="B310" t="str">
        <f>T("BRANCH OF INFORMATION MGMT SVS")</f>
        <v>BRANCH OF INFORMATION MGMT SVS</v>
      </c>
      <c r="C310" t="str">
        <f>T("345 MIDDLEFIELD RD")</f>
        <v>345 MIDDLEFIELD RD</v>
      </c>
      <c r="D310" t="str">
        <f>T("MS 870")</f>
        <v>MS 870</v>
      </c>
      <c r="E310" t="s">
        <v>11</v>
      </c>
      <c r="F310" t="s">
        <v>11</v>
      </c>
      <c r="G310" t="str">
        <f>T("MENLO PARK")</f>
        <v>MENLO PARK</v>
      </c>
      <c r="H310" t="str">
        <f>T("CA ")</f>
        <v>CA </v>
      </c>
      <c r="I310" s="1">
        <f>N(94025)</f>
        <v>94025</v>
      </c>
      <c r="J310" s="1">
        <f t="shared" si="38"/>
        <v>7036487350</v>
      </c>
      <c r="K310" s="1" t="s">
        <v>11</v>
      </c>
    </row>
    <row r="311" spans="1:11" ht="12.75">
      <c r="A311" s="1" t="s">
        <v>22</v>
      </c>
      <c r="B311" t="str">
        <f>T("IT SECURITY OPERATIONS TEAM")</f>
        <v>IT SECURITY OPERATIONS TEAM</v>
      </c>
      <c r="C311" t="str">
        <f>T("345 MIDDLEFIELD RD")</f>
        <v>345 MIDDLEFIELD RD</v>
      </c>
      <c r="D311" t="str">
        <f>T("MS 870")</f>
        <v>MS 870</v>
      </c>
      <c r="E311" t="s">
        <v>11</v>
      </c>
      <c r="F311" t="s">
        <v>11</v>
      </c>
      <c r="G311" t="str">
        <f>T("MENLO PARK")</f>
        <v>MENLO PARK</v>
      </c>
      <c r="H311" t="str">
        <f>T("CA ")</f>
        <v>CA </v>
      </c>
      <c r="I311" s="1">
        <f>N(94025)</f>
        <v>94025</v>
      </c>
      <c r="J311" s="1">
        <f t="shared" si="38"/>
        <v>7036487350</v>
      </c>
      <c r="K311" s="1" t="s">
        <v>11</v>
      </c>
    </row>
    <row r="312" spans="1:11" ht="12.75">
      <c r="A312" s="1" t="s">
        <v>22</v>
      </c>
      <c r="B312" t="str">
        <f>T("PSC 1")</f>
        <v>PSC 1</v>
      </c>
      <c r="C312" t="str">
        <f>T("640 GRASSMERE PARK DR")</f>
        <v>640 GRASSMERE PARK DR</v>
      </c>
      <c r="D312" t="s">
        <v>11</v>
      </c>
      <c r="E312" t="s">
        <v>11</v>
      </c>
      <c r="F312" t="s">
        <v>11</v>
      </c>
      <c r="G312" t="str">
        <f>T("NASHVILLE")</f>
        <v>NASHVILLE</v>
      </c>
      <c r="H312" t="str">
        <f>T("TN ")</f>
        <v>TN </v>
      </c>
      <c r="I312" s="1">
        <f>N(37211)</f>
        <v>37211</v>
      </c>
      <c r="J312" s="1" t="str">
        <f>T("703 648 7350")</f>
        <v>703 648 7350</v>
      </c>
      <c r="K312" s="1" t="s">
        <v>11</v>
      </c>
    </row>
    <row r="313" spans="1:11" ht="12.75">
      <c r="A313" s="1" t="s">
        <v>22</v>
      </c>
      <c r="B313" t="str">
        <f>T("PSC  2")</f>
        <v>PSC  2</v>
      </c>
      <c r="C313" t="str">
        <f>T("361 COMMERCE WAY")</f>
        <v>361 COMMERCE WAY</v>
      </c>
      <c r="D313" t="s">
        <v>11</v>
      </c>
      <c r="E313" t="s">
        <v>11</v>
      </c>
      <c r="F313" t="s">
        <v>11</v>
      </c>
      <c r="G313" t="str">
        <f>T("PEMBROKE")</f>
        <v>PEMBROKE</v>
      </c>
      <c r="H313" t="str">
        <f>T("NH ")</f>
        <v>NH </v>
      </c>
      <c r="I313" s="2" t="s">
        <v>19</v>
      </c>
      <c r="J313" s="1" t="str">
        <f>T("703 648 7350")</f>
        <v>703 648 7350</v>
      </c>
      <c r="K313" s="1" t="s">
        <v>11</v>
      </c>
    </row>
    <row r="314" spans="1:11" ht="12.75">
      <c r="A314" s="1" t="s">
        <v>22</v>
      </c>
      <c r="B314" t="str">
        <f>T("PSC 3")</f>
        <v>PSC 3</v>
      </c>
      <c r="C314" t="str">
        <f>T("10 BEARFOOT ROAD")</f>
        <v>10 BEARFOOT ROAD</v>
      </c>
      <c r="D314" t="s">
        <v>11</v>
      </c>
      <c r="E314" t="s">
        <v>11</v>
      </c>
      <c r="F314" t="s">
        <v>11</v>
      </c>
      <c r="G314" t="str">
        <f>T("NORTH BOROUGH")</f>
        <v>NORTH BOROUGH</v>
      </c>
      <c r="H314" t="str">
        <f>T("MA ")</f>
        <v>MA </v>
      </c>
      <c r="I314" s="2" t="s">
        <v>18</v>
      </c>
      <c r="J314" s="1" t="str">
        <f>T("703 648 7350")</f>
        <v>703 648 7350</v>
      </c>
      <c r="K314" s="1" t="s">
        <v>11</v>
      </c>
    </row>
    <row r="315" spans="1:11" ht="12.75">
      <c r="A315" s="1" t="s">
        <v>22</v>
      </c>
      <c r="B315" t="str">
        <f>T("PSC 4")</f>
        <v>PSC 4</v>
      </c>
      <c r="C315" t="str">
        <f>T("903 NATIONAL CENTER")</f>
        <v>903 NATIONAL CENTER</v>
      </c>
      <c r="D315" t="s">
        <v>11</v>
      </c>
      <c r="E315" t="s">
        <v>11</v>
      </c>
      <c r="F315" t="s">
        <v>11</v>
      </c>
      <c r="G315" t="str">
        <f>T("RESTON")</f>
        <v>RESTON</v>
      </c>
      <c r="H315" t="str">
        <f>T("VA ")</f>
        <v>VA </v>
      </c>
      <c r="I315" s="1">
        <f>N(20192)</f>
        <v>20192</v>
      </c>
      <c r="J315" s="1" t="str">
        <f>T("703 648 7530")</f>
        <v>703 648 7530</v>
      </c>
      <c r="K315" s="1" t="s">
        <v>11</v>
      </c>
    </row>
    <row r="316" spans="1:11" ht="12.75">
      <c r="A316" s="1" t="s">
        <v>22</v>
      </c>
      <c r="B316" t="str">
        <f>T("PSC 5")</f>
        <v>PSC 5</v>
      </c>
      <c r="C316" t="str">
        <f>T("3916 SUNSET RODGE RD")</f>
        <v>3916 SUNSET RODGE RD</v>
      </c>
      <c r="D316" t="s">
        <v>11</v>
      </c>
      <c r="E316" t="s">
        <v>11</v>
      </c>
      <c r="F316" t="s">
        <v>11</v>
      </c>
      <c r="G316" t="str">
        <f>T("RALEIGH")</f>
        <v>RALEIGH</v>
      </c>
      <c r="H316" t="str">
        <f>T("NC ")</f>
        <v>NC </v>
      </c>
      <c r="I316" s="1">
        <f>N(27607)</f>
        <v>27607</v>
      </c>
      <c r="J316" s="1" t="str">
        <f>T("703 648 7350")</f>
        <v>703 648 7350</v>
      </c>
      <c r="K316" s="1" t="s">
        <v>11</v>
      </c>
    </row>
    <row r="317" spans="1:11" ht="12.75">
      <c r="A317" s="1" t="s">
        <v>22</v>
      </c>
      <c r="B317" t="str">
        <f>T("PSC 6")</f>
        <v>PSC 6</v>
      </c>
      <c r="C317" t="str">
        <f>T("3039 AMWILLER ROAD")</f>
        <v>3039 AMWILLER ROAD</v>
      </c>
      <c r="D317" t="s">
        <v>11</v>
      </c>
      <c r="E317" t="s">
        <v>11</v>
      </c>
      <c r="F317" t="s">
        <v>11</v>
      </c>
      <c r="G317" t="str">
        <f>T("ATLANTA")</f>
        <v>ATLANTA</v>
      </c>
      <c r="H317" t="str">
        <f>T("GA ")</f>
        <v>GA </v>
      </c>
      <c r="I317" s="1">
        <f>N(30360)</f>
        <v>30360</v>
      </c>
      <c r="J317" s="1" t="str">
        <f>T("703 648 7350")</f>
        <v>703 648 7350</v>
      </c>
      <c r="K317" s="1" t="s">
        <v>11</v>
      </c>
    </row>
    <row r="318" spans="1:11" ht="12.75">
      <c r="A318" s="1" t="s">
        <v>22</v>
      </c>
      <c r="B318" t="str">
        <f>T("PSC 7")</f>
        <v>PSC 7</v>
      </c>
      <c r="C318" t="str">
        <f>T("3110 SW 9TH AVENUE")</f>
        <v>3110 SW 9TH AVENUE</v>
      </c>
      <c r="D318" t="s">
        <v>11</v>
      </c>
      <c r="E318" t="s">
        <v>11</v>
      </c>
      <c r="F318" t="s">
        <v>11</v>
      </c>
      <c r="G318" t="str">
        <f>T("FT LAUDERDALE")</f>
        <v>FT LAUDERDALE</v>
      </c>
      <c r="H318" t="str">
        <f>T("FL ")</f>
        <v>FL </v>
      </c>
      <c r="I318" s="1">
        <f>N(33315)</f>
        <v>33315</v>
      </c>
      <c r="J318" s="1" t="str">
        <f>T("703 648 7350")</f>
        <v>703 648 7350</v>
      </c>
      <c r="K318" s="1" t="s">
        <v>11</v>
      </c>
    </row>
    <row r="319" spans="1:11" ht="12.75">
      <c r="A319" s="1" t="s">
        <v>22</v>
      </c>
      <c r="B319" t="str">
        <f>T("PSC 8")</f>
        <v>PSC 8</v>
      </c>
      <c r="C319" t="str">
        <f>T("6580 DOUBLETREE AVE")</f>
        <v>6580 DOUBLETREE AVE</v>
      </c>
      <c r="D319" t="s">
        <v>11</v>
      </c>
      <c r="E319" t="s">
        <v>11</v>
      </c>
      <c r="F319" t="s">
        <v>11</v>
      </c>
      <c r="G319" t="str">
        <f>T("COLUMBUS")</f>
        <v>COLUMBUS</v>
      </c>
      <c r="H319" t="str">
        <f>T("OH ")</f>
        <v>OH </v>
      </c>
      <c r="I319" s="1">
        <f>N(43299)</f>
        <v>43299</v>
      </c>
      <c r="J319" s="1" t="str">
        <f>T("703 648 7350")</f>
        <v>703 648 7350</v>
      </c>
      <c r="K319" s="1" t="s">
        <v>11</v>
      </c>
    </row>
    <row r="320" spans="1:11" ht="12.75">
      <c r="A320" s="1" t="s">
        <v>22</v>
      </c>
      <c r="B320" t="str">
        <f>T("PSC 11")</f>
        <v>PSC 11</v>
      </c>
      <c r="C320" t="str">
        <f>T("8505 RESEARCH WAY")</f>
        <v>8505 RESEARCH WAY</v>
      </c>
      <c r="D320" t="s">
        <v>11</v>
      </c>
      <c r="E320" t="s">
        <v>11</v>
      </c>
      <c r="F320" t="s">
        <v>11</v>
      </c>
      <c r="G320" t="str">
        <f>T("MIDDLETON")</f>
        <v>MIDDLETON</v>
      </c>
      <c r="H320" t="str">
        <f>T("WI ")</f>
        <v>WI </v>
      </c>
      <c r="I320" s="1">
        <f>N(53562)</f>
        <v>53562</v>
      </c>
      <c r="J320" s="1" t="str">
        <f>T("703 648 7350")</f>
        <v>703 648 7350</v>
      </c>
      <c r="K320" s="1" t="s">
        <v>11</v>
      </c>
    </row>
    <row r="321" spans="1:11" ht="12.75">
      <c r="A321" s="1" t="s">
        <v>22</v>
      </c>
      <c r="B321" t="str">
        <f>T("INFORMATION MANAGEMENT")</f>
        <v>INFORMATION MANAGEMENT</v>
      </c>
      <c r="C321" t="str">
        <f>T("ms 306 box 25046")</f>
        <v>ms 306 box 25046</v>
      </c>
      <c r="D321" t="s">
        <v>11</v>
      </c>
      <c r="E321" t="s">
        <v>11</v>
      </c>
      <c r="F321" t="s">
        <v>11</v>
      </c>
      <c r="G321" t="str">
        <f>T("denver")</f>
        <v>denver</v>
      </c>
      <c r="H321" t="str">
        <f>T("co ")</f>
        <v>co </v>
      </c>
      <c r="I321" s="1">
        <f>N(80225)</f>
        <v>80225</v>
      </c>
      <c r="J321" s="1">
        <f aca="true" t="shared" si="39" ref="J321:J327">N(7036487350)</f>
        <v>7036487350</v>
      </c>
      <c r="K321" s="1" t="s">
        <v>11</v>
      </c>
    </row>
    <row r="322" spans="1:11" ht="12.75">
      <c r="A322" s="1" t="s">
        <v>22</v>
      </c>
      <c r="B322" t="str">
        <f>T("PSC 10")</f>
        <v>PSC 10</v>
      </c>
      <c r="C322" t="str">
        <f>T("1400 INDEPENDENCE RD MS 444")</f>
        <v>1400 INDEPENDENCE RD MS 444</v>
      </c>
      <c r="D322" t="s">
        <v>11</v>
      </c>
      <c r="E322" t="s">
        <v>11</v>
      </c>
      <c r="F322" t="s">
        <v>11</v>
      </c>
      <c r="G322" t="str">
        <f>T("ROLLA")</f>
        <v>ROLLA</v>
      </c>
      <c r="H322" t="str">
        <f>T("MO ")</f>
        <v>MO </v>
      </c>
      <c r="I322" s="1">
        <f>N(65401)</f>
        <v>65401</v>
      </c>
      <c r="J322" s="1">
        <f t="shared" si="39"/>
        <v>7036487350</v>
      </c>
      <c r="K322" s="1" t="s">
        <v>11</v>
      </c>
    </row>
    <row r="323" spans="1:11" ht="12.75">
      <c r="A323" s="1" t="s">
        <v>22</v>
      </c>
      <c r="B323" t="str">
        <f>T("PSC 12")</f>
        <v>PSC 12</v>
      </c>
      <c r="C323" t="str">
        <f>T("700 CAJUNDOME BLVD")</f>
        <v>700 CAJUNDOME BLVD</v>
      </c>
      <c r="D323" t="s">
        <v>11</v>
      </c>
      <c r="E323" t="s">
        <v>11</v>
      </c>
      <c r="F323" t="s">
        <v>11</v>
      </c>
      <c r="G323" t="str">
        <f>T("LAFAYETTE")</f>
        <v>LAFAYETTE</v>
      </c>
      <c r="H323" t="str">
        <f>T("LA ")</f>
        <v>LA </v>
      </c>
      <c r="I323" s="1">
        <f>N(70506)</f>
        <v>70506</v>
      </c>
      <c r="J323" s="1">
        <f t="shared" si="39"/>
        <v>7036487350</v>
      </c>
      <c r="K323" s="1" t="s">
        <v>11</v>
      </c>
    </row>
    <row r="324" spans="1:11" ht="12.75">
      <c r="A324" s="1" t="s">
        <v>22</v>
      </c>
      <c r="B324" t="str">
        <f>T("PSC 13")</f>
        <v>PSC 13</v>
      </c>
      <c r="C324" t="str">
        <f>T("12110 TECH CENTER DRIVE")</f>
        <v>12110 TECH CENTER DRIVE</v>
      </c>
      <c r="D324" t="s">
        <v>11</v>
      </c>
      <c r="E324" t="s">
        <v>11</v>
      </c>
      <c r="F324" t="s">
        <v>11</v>
      </c>
      <c r="G324" t="str">
        <f>T("POWAY")</f>
        <v>POWAY</v>
      </c>
      <c r="H324" t="str">
        <f>T("CA ")</f>
        <v>CA </v>
      </c>
      <c r="I324" s="1">
        <f>N(92064)</f>
        <v>92064</v>
      </c>
      <c r="J324" s="1">
        <f t="shared" si="39"/>
        <v>7036487350</v>
      </c>
      <c r="K324" s="1" t="s">
        <v>11</v>
      </c>
    </row>
    <row r="325" spans="1:11" ht="12.75">
      <c r="A325" s="1" t="s">
        <v>22</v>
      </c>
      <c r="B325" t="str">
        <f>T("PSC 14")</f>
        <v>PSC 14</v>
      </c>
      <c r="C325" t="str">
        <f>T("520 N PARK AVE STE 221")</f>
        <v>520 N PARK AVE STE 221</v>
      </c>
      <c r="D325" t="s">
        <v>11</v>
      </c>
      <c r="E325" t="s">
        <v>11</v>
      </c>
      <c r="F325" t="s">
        <v>11</v>
      </c>
      <c r="G325" t="str">
        <f>T("TUCSON")</f>
        <v>TUCSON</v>
      </c>
      <c r="H325" t="str">
        <f>T("AZ ")</f>
        <v>AZ </v>
      </c>
      <c r="I325" s="1">
        <f>N(85719)</f>
        <v>85719</v>
      </c>
      <c r="J325" s="1">
        <f t="shared" si="39"/>
        <v>7036487350</v>
      </c>
      <c r="K325" s="1" t="s">
        <v>11</v>
      </c>
    </row>
    <row r="326" spans="1:11" ht="12.75">
      <c r="A326" s="1" t="s">
        <v>22</v>
      </c>
      <c r="B326" t="str">
        <f>T("PSC 15")</f>
        <v>PSC 15</v>
      </c>
      <c r="C326" t="str">
        <f>T("MS 902")</f>
        <v>MS 902</v>
      </c>
      <c r="D326" t="str">
        <f>T("BOX 25046")</f>
        <v>BOX 25046</v>
      </c>
      <c r="E326" t="s">
        <v>11</v>
      </c>
      <c r="F326" t="s">
        <v>11</v>
      </c>
      <c r="G326" t="str">
        <f>T("DENVER")</f>
        <v>DENVER</v>
      </c>
      <c r="H326" t="str">
        <f>T("CO ")</f>
        <v>CO </v>
      </c>
      <c r="I326" s="1">
        <f>N(80225)</f>
        <v>80225</v>
      </c>
      <c r="J326" s="1">
        <f t="shared" si="39"/>
        <v>7036487350</v>
      </c>
      <c r="K326" s="1" t="s">
        <v>11</v>
      </c>
    </row>
    <row r="327" spans="1:11" ht="12.75">
      <c r="A327" s="1" t="s">
        <v>22</v>
      </c>
      <c r="B327" t="str">
        <f>T("PSC 9")</f>
        <v>PSC 9</v>
      </c>
      <c r="C327" t="str">
        <f>T("700 CAJUNDOME BLVD")</f>
        <v>700 CAJUNDOME BLVD</v>
      </c>
      <c r="D327" t="s">
        <v>11</v>
      </c>
      <c r="E327" t="s">
        <v>11</v>
      </c>
      <c r="F327" t="s">
        <v>11</v>
      </c>
      <c r="G327" t="str">
        <f>T("LAFAYETTE")</f>
        <v>LAFAYETTE</v>
      </c>
      <c r="H327" t="str">
        <f>T("LA ")</f>
        <v>LA </v>
      </c>
      <c r="I327" s="1">
        <f>N(70506)</f>
        <v>70506</v>
      </c>
      <c r="J327" s="1">
        <f t="shared" si="39"/>
        <v>7036487350</v>
      </c>
      <c r="K327" s="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2007-04-30T18:05:29Z</dcterms:created>
  <dcterms:modified xsi:type="dcterms:W3CDTF">2007-05-21T10:28:07Z</dcterms:modified>
  <cp:category/>
  <cp:version/>
  <cp:contentType/>
  <cp:contentStatus/>
</cp:coreProperties>
</file>