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46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<sst xmlns="http://schemas.openxmlformats.org/spreadsheetml/2006/main" count="330" uniqueCount="13">
  <si>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</si>
  <si>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</si>
  <si>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</si>
  <si>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</si>
  <si>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</si>
  <si>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</si>
  <si>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</si>
  <si>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</si>
  <si>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</si>
  <si>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</si>
  <si>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 xml:space="preserve"> </t>
  </si>
  <si>
    <t>MINERALS MANAGEMENT SERVICE</t>
  </si>
  <si>
    <t xml:space="preserve">BUREAU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</si>
</sst>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4.57421875" style="0" customWidth="1"/>
    <col min="2" max="2" width="39.7109375" style="0" customWidth="1"/>
    <col min="3" max="3" width="42.28125" style="0" customWidth="1"/>
    <col min="4" max="4" width="22.00390625" style="0" customWidth="1"/>
    <col min="5" max="5" width="13.140625" style="0" customWidth="1"/>
    <col min="6" max="6" width="13.7109375" style="0" customWidth="1"/>
    <col min="7" max="7" width="19.140625" style="0" customWidth="1"/>
    <col min="9" max="9" width="13.28125" style="0" customWidth="1"/>
    <col min="10" max="10" width="15.28125" style="0" customWidth="1"/>
    <col min="11" max="11" width="14.421875" style="0" customWidth="1"/>
  </cols>
  <sheetData>
    <row r="1" spans="1:11" s="3" customFormat="1" ht="12.75">
      <c r="A1" s="2" t="s">
        <v>12</v>
      </c>
      <c r="B1" s="3" t="s">
        <v>0</v>
      </c>
      <c r="C1" s="3" t="s">
        <v>1</v>
      </c>
      <c r="D1" s="3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2" t="s">
        <v>8</v>
      </c>
      <c r="K1" s="2" t="s">
        <v>9</v>
      </c>
    </row>
    <row r="2" spans="1:11" ht="12.75">
      <c r="A2" s="1" t="s">
        <v>11</v>
      </c>
      <c r="B2" t="str">
        <f>T("OFC OF THE DIRECTOR")</f>
        <v>OFC OF THE DIRECTOR</v>
      </c>
      <c r="C2" t="str">
        <f>T("MMS  1849 C STREET  NW")</f>
        <v>MMS  1849 C STREET  NW</v>
      </c>
      <c r="D2" t="str">
        <f>T("MS 4230")</f>
        <v>MS 4230</v>
      </c>
      <c r="E2" t="s">
        <v>10</v>
      </c>
      <c r="F2" t="s">
        <v>10</v>
      </c>
      <c r="G2" t="str">
        <f>T("WASHINGTON")</f>
        <v>WASHINGTON</v>
      </c>
      <c r="H2" t="str">
        <f>T("DC ")</f>
        <v>DC </v>
      </c>
      <c r="I2" s="1" t="str">
        <f>T("20240 0001")</f>
        <v>20240 0001</v>
      </c>
      <c r="J2" s="1" t="str">
        <f>T("202 208 3500")</f>
        <v>202 208 3500</v>
      </c>
      <c r="K2" s="1" t="str">
        <f>T("202 208 7242")</f>
        <v>202 208 7242</v>
      </c>
    </row>
    <row r="3" spans="1:11" ht="12.75">
      <c r="A3" s="1" t="s">
        <v>11</v>
      </c>
      <c r="B3" t="str">
        <f>T("OFC OF COMMUNICATIONS")</f>
        <v>OFC OF COMMUNICATIONS</v>
      </c>
      <c r="C3" t="str">
        <f>T("MMS  1849 C STREET  NW")</f>
        <v>MMS  1849 C STREET  NW</v>
      </c>
      <c r="D3" t="str">
        <f>T("MS 4230")</f>
        <v>MS 4230</v>
      </c>
      <c r="E3" t="s">
        <v>10</v>
      </c>
      <c r="F3" t="s">
        <v>10</v>
      </c>
      <c r="G3" t="str">
        <f>T("WASHINGTON")</f>
        <v>WASHINGTON</v>
      </c>
      <c r="H3" t="str">
        <f>T("DC ")</f>
        <v>DC </v>
      </c>
      <c r="I3" s="1" t="str">
        <f>T("20240 0001")</f>
        <v>20240 0001</v>
      </c>
      <c r="J3" s="1" t="str">
        <f>T("202 208 6416")</f>
        <v>202 208 6416</v>
      </c>
      <c r="K3" s="1" t="str">
        <f>T("202 208 5565")</f>
        <v>202 208 5565</v>
      </c>
    </row>
    <row r="4" spans="1:11" ht="12.75">
      <c r="A4" s="1" t="s">
        <v>11</v>
      </c>
      <c r="B4" t="str">
        <f>T("ASSOC DIR/PLCY &amp; MGMT IMP")</f>
        <v>ASSOC DIR/PLCY &amp; MGMT IMP</v>
      </c>
      <c r="C4" t="str">
        <f>T("MMS  1849 C STREET  NW")</f>
        <v>MMS  1849 C STREET  NW</v>
      </c>
      <c r="D4" t="str">
        <f>T("MS 4230")</f>
        <v>MS 4230</v>
      </c>
      <c r="E4" t="s">
        <v>10</v>
      </c>
      <c r="F4" t="s">
        <v>10</v>
      </c>
      <c r="G4" t="str">
        <f>T("WASHINGTON")</f>
        <v>WASHINGTON</v>
      </c>
      <c r="H4" t="str">
        <f>T("DC ")</f>
        <v>DC </v>
      </c>
      <c r="I4" s="1" t="str">
        <f>T("20240 0001")</f>
        <v>20240 0001</v>
      </c>
      <c r="J4" s="1" t="str">
        <f>T("202 208 3398")</f>
        <v>202 208 3398</v>
      </c>
      <c r="K4" s="1" t="str">
        <f>T("202 208 4891")</f>
        <v>202 208 4891</v>
      </c>
    </row>
    <row r="5" spans="1:11" ht="12.75">
      <c r="A5" s="1" t="s">
        <v>11</v>
      </c>
      <c r="B5" t="str">
        <f>T("WASHINGTON DIV")</f>
        <v>WASHINGTON DIV</v>
      </c>
      <c r="C5" t="str">
        <f>T("MMS  1849 C STREET  NW")</f>
        <v>MMS  1849 C STREET  NW</v>
      </c>
      <c r="D5" t="str">
        <f>T("MS 4230")</f>
        <v>MS 4230</v>
      </c>
      <c r="E5" t="s">
        <v>10</v>
      </c>
      <c r="F5" t="s">
        <v>10</v>
      </c>
      <c r="G5" t="str">
        <f>T("WASHINGTON")</f>
        <v>WASHINGTON</v>
      </c>
      <c r="H5" t="str">
        <f>T("DC ")</f>
        <v>DC </v>
      </c>
      <c r="I5" s="1" t="str">
        <f>T("20240 0001")</f>
        <v>20240 0001</v>
      </c>
      <c r="J5" s="1" t="str">
        <f>T("202 208 3822")</f>
        <v>202 208 3822</v>
      </c>
      <c r="K5" s="1" t="str">
        <f>T("202 208 4891")</f>
        <v>202 208 4891</v>
      </c>
    </row>
    <row r="6" spans="1:11" ht="12.75">
      <c r="A6" s="1" t="s">
        <v>11</v>
      </c>
      <c r="B6" t="str">
        <f>T("LAKEWOOD DIV")</f>
        <v>LAKEWOOD DIV</v>
      </c>
      <c r="C6" t="str">
        <f>T("MMS  PO BOX 25165")</f>
        <v>MMS  PO BOX 25165</v>
      </c>
      <c r="D6" t="str">
        <f>T("MS 9200")</f>
        <v>MS 9200</v>
      </c>
      <c r="E6" t="s">
        <v>10</v>
      </c>
      <c r="F6" t="s">
        <v>10</v>
      </c>
      <c r="G6" t="str">
        <f>T("DENVER")</f>
        <v>DENVER</v>
      </c>
      <c r="H6" t="str">
        <f>T("CO ")</f>
        <v>CO </v>
      </c>
      <c r="I6" s="1" t="str">
        <f>T("80225 0165")</f>
        <v>80225 0165</v>
      </c>
      <c r="J6" s="1" t="str">
        <f>T("303 275 7119")</f>
        <v>303 275 7119</v>
      </c>
      <c r="K6" s="1" t="str">
        <f>T("303 275 7124")</f>
        <v>303 275 7124</v>
      </c>
    </row>
    <row r="7" spans="1:11" ht="12.75">
      <c r="A7" s="1" t="s">
        <v>11</v>
      </c>
      <c r="B7" t="str">
        <f>T("APPEALS DIV")</f>
        <v>APPEALS DIV</v>
      </c>
      <c r="C7" t="str">
        <f>T("MMS  1849 C STREET  NW")</f>
        <v>MMS  1849 C STREET  NW</v>
      </c>
      <c r="D7" t="str">
        <f>T("MS 9300")</f>
        <v>MS 9300</v>
      </c>
      <c r="E7" t="s">
        <v>10</v>
      </c>
      <c r="F7" t="s">
        <v>10</v>
      </c>
      <c r="G7" t="str">
        <f>T("WASHINGTON")</f>
        <v>WASHINGTON</v>
      </c>
      <c r="H7" t="str">
        <f>T("DC ")</f>
        <v>DC </v>
      </c>
      <c r="I7" s="1" t="str">
        <f>T("20240 0001")</f>
        <v>20240 0001</v>
      </c>
      <c r="J7" s="1" t="str">
        <f>T("202 208 6405")</f>
        <v>202 208 6405</v>
      </c>
      <c r="K7" s="1" t="str">
        <f>T("202 219 5565")</f>
        <v>202 219 5565</v>
      </c>
    </row>
    <row r="8" spans="1:11" ht="12.75">
      <c r="A8" s="1" t="s">
        <v>11</v>
      </c>
      <c r="B8" t="str">
        <f>T("ASSOC DIR FOR ADMIN &amp; BUDG")</f>
        <v>ASSOC DIR FOR ADMIN &amp; BUDG</v>
      </c>
      <c r="C8" t="str">
        <f>T("MMS  1849 C STREET  NW")</f>
        <v>MMS  1849 C STREET  NW</v>
      </c>
      <c r="D8" t="str">
        <f>T("MS 2050")</f>
        <v>MS 2050</v>
      </c>
      <c r="E8" t="s">
        <v>10</v>
      </c>
      <c r="F8" t="s">
        <v>10</v>
      </c>
      <c r="G8" t="str">
        <f>T("WASHINGTON")</f>
        <v>WASHINGTON</v>
      </c>
      <c r="H8" t="str">
        <f>T("DC ")</f>
        <v>DC </v>
      </c>
      <c r="I8" s="1" t="str">
        <f>T("20240 0001")</f>
        <v>20240 0001</v>
      </c>
      <c r="J8" s="1" t="str">
        <f>T("202 208 3220")</f>
        <v>202 208 3220</v>
      </c>
      <c r="K8" s="1" t="str">
        <f>T("703 787 1437")</f>
        <v>703 787 1437</v>
      </c>
    </row>
    <row r="9" spans="1:11" ht="12.75">
      <c r="A9" s="1" t="s">
        <v>11</v>
      </c>
      <c r="B9" t="str">
        <f>T("INFO RSCS MGT DIV")</f>
        <v>INFO RSCS MGT DIV</v>
      </c>
      <c r="C9" t="str">
        <f>T("MMS  381 ELDEN STREET.")</f>
        <v>MMS  381 ELDEN STREET.</v>
      </c>
      <c r="D9" t="str">
        <f>T("MS 2200")</f>
        <v>MS 2200</v>
      </c>
      <c r="E9" t="s">
        <v>10</v>
      </c>
      <c r="F9" t="s">
        <v>10</v>
      </c>
      <c r="G9" t="str">
        <f>T("HERNDON")</f>
        <v>HERNDON</v>
      </c>
      <c r="H9" t="str">
        <f>T("VA ")</f>
        <v>VA </v>
      </c>
      <c r="I9" s="1" t="str">
        <f>T("20170 4817")</f>
        <v>20170 4817</v>
      </c>
      <c r="J9" s="1" t="str">
        <f>T("703 787 1258")</f>
        <v>703 787 1258</v>
      </c>
      <c r="K9" s="1" t="str">
        <f>T("703 787 1207")</f>
        <v>703 787 1207</v>
      </c>
    </row>
    <row r="10" spans="1:11" ht="12.75">
      <c r="A10" s="1" t="s">
        <v>11</v>
      </c>
      <c r="B10" t="str">
        <f>T("BUDGET AND FINANCE DIV")</f>
        <v>BUDGET AND FINANCE DIV</v>
      </c>
      <c r="C10" t="str">
        <f>T("MMS  381 ELDEN STREET.")</f>
        <v>MMS  381 ELDEN STREET.</v>
      </c>
      <c r="D10" t="str">
        <f>T("MS 2300")</f>
        <v>MS 2300</v>
      </c>
      <c r="E10" t="s">
        <v>10</v>
      </c>
      <c r="F10" t="s">
        <v>10</v>
      </c>
      <c r="G10" t="str">
        <f>T("HERNDON")</f>
        <v>HERNDON</v>
      </c>
      <c r="H10" t="str">
        <f>T("VA ")</f>
        <v>VA </v>
      </c>
      <c r="I10" s="1" t="str">
        <f>T("20170 4817")</f>
        <v>20170 4817</v>
      </c>
      <c r="J10" s="1" t="str">
        <f>T("202 208 6264")</f>
        <v>202 208 6264</v>
      </c>
      <c r="K10" s="1" t="str">
        <f>T("202 208 3213")</f>
        <v>202 208 3213</v>
      </c>
    </row>
    <row r="11" spans="1:11" ht="12.75">
      <c r="A11" s="1" t="s">
        <v>11</v>
      </c>
      <c r="B11" t="str">
        <f>T("PERSONNEL DIV")</f>
        <v>PERSONNEL DIV</v>
      </c>
      <c r="C11" t="str">
        <f>T("MMS  381 ELDEN STREET.")</f>
        <v>MMS  381 ELDEN STREET.</v>
      </c>
      <c r="D11" t="str">
        <f>T("MS 2400")</f>
        <v>MS 2400</v>
      </c>
      <c r="E11" t="s">
        <v>10</v>
      </c>
      <c r="F11" t="s">
        <v>10</v>
      </c>
      <c r="G11" t="str">
        <f>T("HERNDON")</f>
        <v>HERNDON</v>
      </c>
      <c r="H11" t="str">
        <f>T("VA ")</f>
        <v>VA </v>
      </c>
      <c r="I11" s="1" t="str">
        <f>T("20170 4817")</f>
        <v>20170 4817</v>
      </c>
      <c r="J11" s="1" t="str">
        <f>T("703 787 1423")</f>
        <v>703 787 1423</v>
      </c>
      <c r="K11" s="1" t="str">
        <f>T("703 787 1046")</f>
        <v>703 787 1046</v>
      </c>
    </row>
    <row r="12" spans="1:11" ht="12.75">
      <c r="A12" s="1" t="s">
        <v>11</v>
      </c>
      <c r="B12" t="str">
        <f>T("PROCUREMENT &amp; SPT SVCS DIV")</f>
        <v>PROCUREMENT &amp; SPT SVCS DIV</v>
      </c>
      <c r="C12" t="str">
        <f>T("MMS  381 ELDEN STREET.")</f>
        <v>MMS  381 ELDEN STREET.</v>
      </c>
      <c r="D12" t="str">
        <f>T("MS 2500")</f>
        <v>MS 2500</v>
      </c>
      <c r="E12" t="s">
        <v>10</v>
      </c>
      <c r="F12" t="s">
        <v>10</v>
      </c>
      <c r="G12" t="str">
        <f>T("HERNDON")</f>
        <v>HERNDON</v>
      </c>
      <c r="H12" t="str">
        <f>T("VA ")</f>
        <v>VA </v>
      </c>
      <c r="I12" s="1" t="str">
        <f>T("20170 4817")</f>
        <v>20170 4817</v>
      </c>
      <c r="J12" s="1" t="str">
        <f>T("703 787 1375")</f>
        <v>703 787 1375</v>
      </c>
      <c r="K12" s="1" t="str">
        <f>T("703 787 1009")</f>
        <v>703 787 1009</v>
      </c>
    </row>
    <row r="13" spans="1:11" ht="12.75">
      <c r="A13" s="1" t="s">
        <v>11</v>
      </c>
      <c r="B13" t="str">
        <f>T("SOUTHERN ADMIN SVC CENTER")</f>
        <v>SOUTHERN ADMIN SVC CENTER</v>
      </c>
      <c r="C13" t="str">
        <f>T("MMS  1201 ELMWOOD PARK BOULEVARD")</f>
        <v>MMS  1201 ELMWOOD PARK BOULEVARD</v>
      </c>
      <c r="D13" t="str">
        <f>T("MS 2600")</f>
        <v>MS 2600</v>
      </c>
      <c r="E13" t="s">
        <v>10</v>
      </c>
      <c r="F13" t="s">
        <v>10</v>
      </c>
      <c r="G13" t="str">
        <f>T("NEW ORLEANS")</f>
        <v>NEW ORLEANS</v>
      </c>
      <c r="H13" t="str">
        <f>T("LA ")</f>
        <v>LA </v>
      </c>
      <c r="I13" s="1" t="str">
        <f>T("70123 2394")</f>
        <v>70123 2394</v>
      </c>
      <c r="J13" s="1" t="str">
        <f>T("504 736 2616")</f>
        <v>504 736 2616</v>
      </c>
      <c r="K13" s="1" t="str">
        <f>T("504 736 2858")</f>
        <v>504 736 2858</v>
      </c>
    </row>
    <row r="14" spans="1:11" ht="12.75">
      <c r="A14" s="1" t="s">
        <v>11</v>
      </c>
      <c r="B14" t="str">
        <f>T("WESTERN ADMINISTRATIVE SVC CTR")</f>
        <v>WESTERN ADMINISTRATIVE SVC CTR</v>
      </c>
      <c r="C14" t="str">
        <f>T("MMS  PO BOX 25165")</f>
        <v>MMS  PO BOX 25165</v>
      </c>
      <c r="D14" t="str">
        <f>T("MS 2700")</f>
        <v>MS 2700</v>
      </c>
      <c r="E14" t="s">
        <v>10</v>
      </c>
      <c r="F14" t="s">
        <v>10</v>
      </c>
      <c r="G14" t="str">
        <f>T("DENVER")</f>
        <v>DENVER</v>
      </c>
      <c r="H14" t="str">
        <f>T("CO ")</f>
        <v>CO </v>
      </c>
      <c r="I14" s="1" t="str">
        <f>T("80225 0165")</f>
        <v>80225 0165</v>
      </c>
      <c r="J14" s="1" t="str">
        <f>T("303 275 7300")</f>
        <v>303 275 7300</v>
      </c>
      <c r="K14" s="1" t="str">
        <f>T("303 275 7303")</f>
        <v>303 275 7303</v>
      </c>
    </row>
    <row r="15" spans="1:11" ht="12.75">
      <c r="A15" s="1" t="s">
        <v>11</v>
      </c>
      <c r="B15" t="str">
        <f>T("EQUAL EMPLOY &amp; DEV OPPTY DI")</f>
        <v>EQUAL EMPLOY &amp; DEV OPPTY DI</v>
      </c>
      <c r="C15" t="str">
        <f>T("MMS  381 ELDEN STREET.")</f>
        <v>MMS  381 ELDEN STREET.</v>
      </c>
      <c r="D15" t="str">
        <f>T("MS 2900")</f>
        <v>MS 2900</v>
      </c>
      <c r="E15" t="s">
        <v>10</v>
      </c>
      <c r="F15" t="s">
        <v>10</v>
      </c>
      <c r="G15" t="str">
        <f>T("HERNDON")</f>
        <v>HERNDON</v>
      </c>
      <c r="H15" t="str">
        <f>T("VA ")</f>
        <v>VA </v>
      </c>
      <c r="I15" s="1" t="str">
        <f>T("20170 4817")</f>
        <v>20170 4817</v>
      </c>
      <c r="J15" s="1" t="str">
        <f>T("703 787 1313")</f>
        <v>703 787 1313</v>
      </c>
      <c r="K15" s="1" t="str">
        <f>T("703 787 1601")</f>
        <v>703 787 1601</v>
      </c>
    </row>
    <row r="16" spans="1:11" ht="12.75">
      <c r="A16" s="1" t="s">
        <v>11</v>
      </c>
      <c r="B16" t="str">
        <f>T("ASSOC DIR OFFSHORE MINERAL MGT")</f>
        <v>ASSOC DIR OFFSHORE MINERAL MGT</v>
      </c>
      <c r="C16" t="str">
        <f>T("MMS  1849 C STREET  NW")</f>
        <v>MMS  1849 C STREET  NW</v>
      </c>
      <c r="D16" t="str">
        <f>T("MS 4000")</f>
        <v>MS 4000</v>
      </c>
      <c r="E16" t="s">
        <v>10</v>
      </c>
      <c r="F16" t="s">
        <v>10</v>
      </c>
      <c r="G16" t="str">
        <f>T("WASHINGTON")</f>
        <v>WASHINGTON</v>
      </c>
      <c r="H16" t="str">
        <f>T("DC ")</f>
        <v>DC </v>
      </c>
      <c r="I16" s="1" t="str">
        <f>T("20240 0001")</f>
        <v>20240 0001</v>
      </c>
      <c r="J16" s="1" t="str">
        <f>T("202 208 3530")</f>
        <v>202 208 3530</v>
      </c>
      <c r="K16" s="1" t="str">
        <f>T("703 787 1209")</f>
        <v>703 787 1209</v>
      </c>
    </row>
    <row r="17" spans="1:11" ht="12.75">
      <c r="A17" s="1" t="s">
        <v>11</v>
      </c>
      <c r="B17" t="str">
        <f>T("LEASING DIV-WASHINGTON AREA")</f>
        <v>LEASING DIV-WASHINGTON AREA</v>
      </c>
      <c r="C17" t="str">
        <f aca="true" t="shared" si="0" ref="C17:C23">T("MMS  381 ELDEN STREET.")</f>
        <v>MMS  381 ELDEN STREET.</v>
      </c>
      <c r="D17" t="str">
        <f>T("MS 4010")</f>
        <v>MS 4010</v>
      </c>
      <c r="E17" t="s">
        <v>10</v>
      </c>
      <c r="F17" t="s">
        <v>10</v>
      </c>
      <c r="G17" t="str">
        <f aca="true" t="shared" si="1" ref="G17:G23">T("HERNDON")</f>
        <v>HERNDON</v>
      </c>
      <c r="H17" t="str">
        <f aca="true" t="shared" si="2" ref="H17:H23">T("VA ")</f>
        <v>VA </v>
      </c>
      <c r="I17" s="1" t="str">
        <f aca="true" t="shared" si="3" ref="I17:I23">T("20170 4817")</f>
        <v>20170 4817</v>
      </c>
      <c r="J17" s="1" t="str">
        <f>T("703 787 1215")</f>
        <v>703 787 1215</v>
      </c>
      <c r="K17" s="1" t="str">
        <f>T("703 787 1165")</f>
        <v>703 787 1165</v>
      </c>
    </row>
    <row r="18" spans="1:11" ht="12.75">
      <c r="A18" s="1" t="s">
        <v>11</v>
      </c>
      <c r="B18" t="str">
        <f>T("ENGNRG &amp; OPS DIV")</f>
        <v>ENGNRG &amp; OPS DIV</v>
      </c>
      <c r="C18" t="str">
        <f t="shared" si="0"/>
        <v>MMS  381 ELDEN STREET.</v>
      </c>
      <c r="D18" t="str">
        <f>T("MS 4020")</f>
        <v>MS 4020</v>
      </c>
      <c r="E18" t="s">
        <v>10</v>
      </c>
      <c r="F18" t="s">
        <v>10</v>
      </c>
      <c r="G18" t="str">
        <f t="shared" si="1"/>
        <v>HERNDON</v>
      </c>
      <c r="H18" t="str">
        <f t="shared" si="2"/>
        <v>VA </v>
      </c>
      <c r="I18" s="1" t="str">
        <f t="shared" si="3"/>
        <v>20170 4817</v>
      </c>
      <c r="J18" s="1" t="str">
        <f>T("703 787 1598")</f>
        <v>703 787 1598</v>
      </c>
      <c r="K18" s="1" t="str">
        <f>T("703 787 1093")</f>
        <v>703 787 1093</v>
      </c>
    </row>
    <row r="19" spans="1:11" ht="12.75">
      <c r="A19" s="1" t="s">
        <v>11</v>
      </c>
      <c r="B19" t="str">
        <f>T("INT'L ACT/MARINE MRLS DIV")</f>
        <v>INT'L ACT/MARINE MRLS DIV</v>
      </c>
      <c r="C19" t="str">
        <f t="shared" si="0"/>
        <v>MMS  381 ELDEN STREET.</v>
      </c>
      <c r="D19" t="str">
        <f>T("MS 4030")</f>
        <v>MS 4030</v>
      </c>
      <c r="E19" t="s">
        <v>10</v>
      </c>
      <c r="F19" t="s">
        <v>10</v>
      </c>
      <c r="G19" t="str">
        <f t="shared" si="1"/>
        <v>HERNDON</v>
      </c>
      <c r="H19" t="str">
        <f t="shared" si="2"/>
        <v>VA </v>
      </c>
      <c r="I19" s="1" t="str">
        <f t="shared" si="3"/>
        <v>20170 4817</v>
      </c>
      <c r="J19" s="1" t="str">
        <f>T("703 787 1300")</f>
        <v>703 787 1300</v>
      </c>
      <c r="K19" s="1" t="str">
        <f>T("703 787 1284")</f>
        <v>703 787 1284</v>
      </c>
    </row>
    <row r="20" spans="1:11" ht="12.75">
      <c r="A20" s="1" t="s">
        <v>11</v>
      </c>
      <c r="B20" t="str">
        <f>T("ENVMTL DIV")</f>
        <v>ENVMTL DIV</v>
      </c>
      <c r="C20" t="str">
        <f t="shared" si="0"/>
        <v>MMS  381 ELDEN STREET.</v>
      </c>
      <c r="D20" t="str">
        <f>T("MS 4040")</f>
        <v>MS 4040</v>
      </c>
      <c r="E20" t="s">
        <v>10</v>
      </c>
      <c r="F20" t="s">
        <v>10</v>
      </c>
      <c r="G20" t="str">
        <f t="shared" si="1"/>
        <v>HERNDON</v>
      </c>
      <c r="H20" t="str">
        <f t="shared" si="2"/>
        <v>VA </v>
      </c>
      <c r="I20" s="1" t="str">
        <f t="shared" si="3"/>
        <v>20170 4817</v>
      </c>
      <c r="J20" s="1" t="str">
        <f>T("703 787 1656")</f>
        <v>703 787 1656</v>
      </c>
      <c r="K20" s="1" t="str">
        <f>T("703 787 1053")</f>
        <v>703 787 1053</v>
      </c>
    </row>
    <row r="21" spans="1:11" ht="12.75">
      <c r="A21" s="1" t="s">
        <v>11</v>
      </c>
      <c r="B21" t="str">
        <f>T("ECONOMICS DIV")</f>
        <v>ECONOMICS DIV</v>
      </c>
      <c r="C21" t="str">
        <f t="shared" si="0"/>
        <v>MMS  381 ELDEN STREET.</v>
      </c>
      <c r="D21" t="str">
        <f>T("MS 4050")</f>
        <v>MS 4050</v>
      </c>
      <c r="E21" t="s">
        <v>10</v>
      </c>
      <c r="F21" t="s">
        <v>10</v>
      </c>
      <c r="G21" t="str">
        <f t="shared" si="1"/>
        <v>HERNDON</v>
      </c>
      <c r="H21" t="str">
        <f t="shared" si="2"/>
        <v>VA </v>
      </c>
      <c r="I21" s="1" t="str">
        <f t="shared" si="3"/>
        <v>20170 4817</v>
      </c>
      <c r="J21" s="1" t="str">
        <f>T("703 787 1536")</f>
        <v>703 787 1536</v>
      </c>
      <c r="K21" s="1" t="str">
        <f>T("703 787 1621")</f>
        <v>703 787 1621</v>
      </c>
    </row>
    <row r="22" spans="1:11" ht="12.75">
      <c r="A22" s="1" t="s">
        <v>11</v>
      </c>
      <c r="B22" t="str">
        <f>T("INFO TECHNOLOGY DIV")</f>
        <v>INFO TECHNOLOGY DIV</v>
      </c>
      <c r="C22" t="str">
        <f t="shared" si="0"/>
        <v>MMS  381 ELDEN STREET.</v>
      </c>
      <c r="D22" t="str">
        <f>T("MS 4060")</f>
        <v>MS 4060</v>
      </c>
      <c r="E22" t="s">
        <v>10</v>
      </c>
      <c r="F22" t="s">
        <v>10</v>
      </c>
      <c r="G22" t="str">
        <f t="shared" si="1"/>
        <v>HERNDON</v>
      </c>
      <c r="H22" t="str">
        <f t="shared" si="2"/>
        <v>VA </v>
      </c>
      <c r="I22" s="1" t="str">
        <f t="shared" si="3"/>
        <v>20170 4817</v>
      </c>
      <c r="J22" s="1" t="str">
        <f>T("703 787 1460")</f>
        <v>703 787 1460</v>
      </c>
      <c r="K22" s="1" t="str">
        <f>T("703 787 1464")</f>
        <v>703 787 1464</v>
      </c>
    </row>
    <row r="23" spans="1:11" ht="12.75">
      <c r="A23" s="1" t="s">
        <v>11</v>
      </c>
      <c r="B23" t="str">
        <f>T("RSC EVALUATION DIV")</f>
        <v>RSC EVALUATION DIV</v>
      </c>
      <c r="C23" t="str">
        <f t="shared" si="0"/>
        <v>MMS  381 ELDEN STREET.</v>
      </c>
      <c r="D23" t="str">
        <f>T("MS 4070")</f>
        <v>MS 4070</v>
      </c>
      <c r="E23" t="s">
        <v>10</v>
      </c>
      <c r="F23" t="s">
        <v>10</v>
      </c>
      <c r="G23" t="str">
        <f t="shared" si="1"/>
        <v>HERNDON</v>
      </c>
      <c r="H23" t="str">
        <f t="shared" si="2"/>
        <v>VA </v>
      </c>
      <c r="I23" s="1" t="str">
        <f t="shared" si="3"/>
        <v>20170 4817</v>
      </c>
      <c r="J23" s="1" t="str">
        <f>T("703 787 1628")</f>
        <v>703 787 1628</v>
      </c>
      <c r="K23" s="1" t="str">
        <f>T("703 787 1621")</f>
        <v>703 787 1621</v>
      </c>
    </row>
    <row r="24" spans="1:11" ht="12.75">
      <c r="A24" s="1" t="s">
        <v>11</v>
      </c>
      <c r="B24" t="str">
        <f>T("GOM OCS RGN OFC OF THE REG DIR")</f>
        <v>GOM OCS RGN OFC OF THE REG DIR</v>
      </c>
      <c r="C24" t="str">
        <f>T("MMS  1201 ELMWOOD PARK BOULEVARD")</f>
        <v>MMS  1201 ELMWOOD PARK BOULEVARD</v>
      </c>
      <c r="D24" t="str">
        <f>T("MS 5000")</f>
        <v>MS 5000</v>
      </c>
      <c r="E24" t="s">
        <v>10</v>
      </c>
      <c r="F24" t="s">
        <v>10</v>
      </c>
      <c r="G24" t="str">
        <f>T("NEW ORLEANS")</f>
        <v>NEW ORLEANS</v>
      </c>
      <c r="H24" t="str">
        <f>T("LA ")</f>
        <v>LA </v>
      </c>
      <c r="I24" s="1" t="str">
        <f>T("70123 2394")</f>
        <v>70123 2394</v>
      </c>
      <c r="J24" s="1" t="str">
        <f>T("504 736 2589")</f>
        <v>504 736 2589</v>
      </c>
      <c r="K24" s="1" t="str">
        <f>T("504 736 2432")</f>
        <v>504 736 2432</v>
      </c>
    </row>
    <row r="25" spans="1:11" ht="12.75">
      <c r="A25" s="1" t="s">
        <v>11</v>
      </c>
      <c r="B25" t="str">
        <f>T("PAC OCS RGN OFC OF THE REG DIR")</f>
        <v>PAC OCS RGN OFC OF THE REG DIR</v>
      </c>
      <c r="C25" t="str">
        <f>T("MMS  770 PASEO CAMARILLO")</f>
        <v>MMS  770 PASEO CAMARILLO</v>
      </c>
      <c r="D25" t="str">
        <f>T("MS 7000")</f>
        <v>MS 7000</v>
      </c>
      <c r="E25" t="s">
        <v>10</v>
      </c>
      <c r="F25" t="s">
        <v>10</v>
      </c>
      <c r="G25" t="str">
        <f>T("CAMARILLO")</f>
        <v>CAMARILLO</v>
      </c>
      <c r="H25" t="str">
        <f>T("CA ")</f>
        <v>CA </v>
      </c>
      <c r="I25" s="1" t="str">
        <f>T("93010 6092")</f>
        <v>93010 6092</v>
      </c>
      <c r="J25" s="1" t="str">
        <f>T("805 389 7502")</f>
        <v>805 389 7502</v>
      </c>
      <c r="K25" s="1" t="str">
        <f>T("805 389 7505")</f>
        <v>805 389 7505</v>
      </c>
    </row>
    <row r="26" spans="1:11" ht="12.75">
      <c r="A26" s="1" t="s">
        <v>11</v>
      </c>
      <c r="B26" t="str">
        <f>T("AK OCS REG OFC OF THE REG DIR")</f>
        <v>AK OCS REG OFC OF THE REG DIR</v>
      </c>
      <c r="C26" t="str">
        <f>T("MMS  949 E. 36TH AVENUE")</f>
        <v>MMS  949 E. 36TH AVENUE</v>
      </c>
      <c r="D26" t="str">
        <f>T("ROOM 308  MS 8000")</f>
        <v>ROOM 308  MS 8000</v>
      </c>
      <c r="E26" t="str">
        <f>T("MS 8000")</f>
        <v>MS 8000</v>
      </c>
      <c r="F26" t="s">
        <v>10</v>
      </c>
      <c r="G26" t="str">
        <f>T("ANCHORAGE")</f>
        <v>ANCHORAGE</v>
      </c>
      <c r="H26" t="str">
        <f>T("AK")</f>
        <v>AK</v>
      </c>
      <c r="I26" s="1" t="str">
        <f>T("99508 4363")</f>
        <v>99508 4363</v>
      </c>
      <c r="J26" s="1" t="str">
        <f>T("907 271 6010")</f>
        <v>907 271 6010</v>
      </c>
      <c r="K26" s="1" t="str">
        <f>T("907 271 6805")</f>
        <v>907 271 6805</v>
      </c>
    </row>
    <row r="27" spans="1:11" ht="12.75">
      <c r="A27" s="1" t="s">
        <v>11</v>
      </c>
      <c r="B27" t="str">
        <f>T("AD DAD FOR MIN REV MGMT")</f>
        <v>AD DAD FOR MIN REV MGMT</v>
      </c>
      <c r="C27" t="str">
        <f>T("MMS  1849 C STREET  NW")</f>
        <v>MMS  1849 C STREET  NW</v>
      </c>
      <c r="D27" t="str">
        <f>T("MS 4230")</f>
        <v>MS 4230</v>
      </c>
      <c r="E27" t="s">
        <v>10</v>
      </c>
      <c r="F27" t="s">
        <v>10</v>
      </c>
      <c r="G27" t="str">
        <f>T("WASHINGTON")</f>
        <v>WASHINGTON</v>
      </c>
      <c r="H27" t="str">
        <f>T("DC ")</f>
        <v>DC </v>
      </c>
      <c r="I27" s="1" t="str">
        <f>T("20240 0001")</f>
        <v>20240 0001</v>
      </c>
      <c r="J27" s="1" t="str">
        <f>T("202 208 3415")</f>
        <v>202 208 3415</v>
      </c>
      <c r="K27" s="1" t="str">
        <f>T("202 208 4891")</f>
        <v>202 208 4891</v>
      </c>
    </row>
    <row r="28" spans="1:11" ht="12.75">
      <c r="A28" s="1" t="s">
        <v>11</v>
      </c>
      <c r="B28" t="str">
        <f>T("OFC OF ENFORCEMENT")</f>
        <v>OFC OF ENFORCEMENT</v>
      </c>
      <c r="C28" t="str">
        <f>T("MMS  PO BOX 25165")</f>
        <v>MMS  PO BOX 25165</v>
      </c>
      <c r="D28" t="str">
        <f>T("MS 3030")</f>
        <v>MS 3030</v>
      </c>
      <c r="E28" t="s">
        <v>10</v>
      </c>
      <c r="F28" t="s">
        <v>10</v>
      </c>
      <c r="G28" t="str">
        <f>T("DENVER")</f>
        <v>DENVER</v>
      </c>
      <c r="H28" t="str">
        <f>T("CO ")</f>
        <v>CO </v>
      </c>
      <c r="I28" s="1" t="str">
        <f>T("80225 0165")</f>
        <v>80225 0165</v>
      </c>
      <c r="J28" s="1" t="str">
        <f>T("303 231 3749")</f>
        <v>303 231 3749</v>
      </c>
      <c r="K28" s="1" t="str">
        <f>T("303 231 3362")</f>
        <v>303 231 3362</v>
      </c>
    </row>
    <row r="29" spans="1:11" ht="12.75">
      <c r="A29" s="1" t="s">
        <v>11</v>
      </c>
      <c r="B29" t="str">
        <f>T("STRATEGIC DIR &amp; COORDN BR")</f>
        <v>STRATEGIC DIR &amp; COORDN BR</v>
      </c>
      <c r="C29" t="str">
        <f aca="true" t="shared" si="4" ref="C29:C34">T("MMS  381 ELDEN STREET.")</f>
        <v>MMS  381 ELDEN STREET.</v>
      </c>
      <c r="D29" t="str">
        <f>T("MS 2220")</f>
        <v>MS 2220</v>
      </c>
      <c r="E29" t="s">
        <v>10</v>
      </c>
      <c r="F29" t="s">
        <v>10</v>
      </c>
      <c r="G29" t="str">
        <f aca="true" t="shared" si="5" ref="G29:G34">T("HERNDON")</f>
        <v>HERNDON</v>
      </c>
      <c r="H29" t="str">
        <f aca="true" t="shared" si="6" ref="H29:H34">T("VA ")</f>
        <v>VA </v>
      </c>
      <c r="I29" s="1" t="str">
        <f aca="true" t="shared" si="7" ref="I29:I34">T("20170 4817")</f>
        <v>20170 4817</v>
      </c>
      <c r="J29" s="1" t="str">
        <f>T("703 787 1258")</f>
        <v>703 787 1258</v>
      </c>
      <c r="K29" s="1" t="str">
        <f>T("703 787 1207")</f>
        <v>703 787 1207</v>
      </c>
    </row>
    <row r="30" spans="1:11" ht="12.75">
      <c r="A30" s="1" t="s">
        <v>11</v>
      </c>
      <c r="B30" t="str">
        <f>T("FINANCIAL MGMT BR")</f>
        <v>FINANCIAL MGMT BR</v>
      </c>
      <c r="C30" t="str">
        <f t="shared" si="4"/>
        <v>MMS  381 ELDEN STREET.</v>
      </c>
      <c r="D30" t="str">
        <f>T("MS 2310")</f>
        <v>MS 2310</v>
      </c>
      <c r="E30" t="s">
        <v>10</v>
      </c>
      <c r="F30" t="s">
        <v>10</v>
      </c>
      <c r="G30" t="str">
        <f t="shared" si="5"/>
        <v>HERNDON</v>
      </c>
      <c r="H30" t="str">
        <f t="shared" si="6"/>
        <v>VA </v>
      </c>
      <c r="I30" s="1" t="str">
        <f t="shared" si="7"/>
        <v>20170 4817</v>
      </c>
      <c r="J30" s="1" t="str">
        <f>T("703 787 1243")</f>
        <v>703 787 1243</v>
      </c>
      <c r="K30" s="1" t="str">
        <f>T("703 787 1246")</f>
        <v>703 787 1246</v>
      </c>
    </row>
    <row r="31" spans="1:11" ht="12.75">
      <c r="A31" s="1" t="s">
        <v>11</v>
      </c>
      <c r="B31" t="str">
        <f>T("HR SYSTEMS &amp; BENEFITS BR")</f>
        <v>HR SYSTEMS &amp; BENEFITS BR</v>
      </c>
      <c r="C31" t="str">
        <f t="shared" si="4"/>
        <v>MMS  381 ELDEN STREET.</v>
      </c>
      <c r="D31" t="str">
        <f>T("MS 2400")</f>
        <v>MS 2400</v>
      </c>
      <c r="E31" t="s">
        <v>10</v>
      </c>
      <c r="F31" t="s">
        <v>10</v>
      </c>
      <c r="G31" t="str">
        <f t="shared" si="5"/>
        <v>HERNDON</v>
      </c>
      <c r="H31" t="str">
        <f t="shared" si="6"/>
        <v>VA </v>
      </c>
      <c r="I31" s="1" t="str">
        <f t="shared" si="7"/>
        <v>20170 4817</v>
      </c>
      <c r="J31" s="1" t="str">
        <f>T("703 787 1423")</f>
        <v>703 787 1423</v>
      </c>
      <c r="K31" s="1" t="str">
        <f>T("703 787 1046")</f>
        <v>703 787 1046</v>
      </c>
    </row>
    <row r="32" spans="1:11" ht="12.75">
      <c r="A32" s="1" t="s">
        <v>11</v>
      </c>
      <c r="B32" t="str">
        <f>T("PERSONNEL MGMT OPS BR")</f>
        <v>PERSONNEL MGMT OPS BR</v>
      </c>
      <c r="C32" t="str">
        <f t="shared" si="4"/>
        <v>MMS  381 ELDEN STREET.</v>
      </c>
      <c r="D32" t="str">
        <f>T("MS 2400")</f>
        <v>MS 2400</v>
      </c>
      <c r="E32" t="s">
        <v>10</v>
      </c>
      <c r="F32" t="s">
        <v>10</v>
      </c>
      <c r="G32" t="str">
        <f t="shared" si="5"/>
        <v>HERNDON</v>
      </c>
      <c r="H32" t="str">
        <f t="shared" si="6"/>
        <v>VA </v>
      </c>
      <c r="I32" s="1" t="str">
        <f t="shared" si="7"/>
        <v>20170 4817</v>
      </c>
      <c r="J32" s="1" t="str">
        <f>T("703 787 1423")</f>
        <v>703 787 1423</v>
      </c>
      <c r="K32" s="1" t="str">
        <f>T("703 787 1046")</f>
        <v>703 787 1046</v>
      </c>
    </row>
    <row r="33" spans="1:11" ht="12.75">
      <c r="A33" s="1" t="s">
        <v>11</v>
      </c>
      <c r="B33" t="str">
        <f>T("PROCUREMENT OPS BR")</f>
        <v>PROCUREMENT OPS BR</v>
      </c>
      <c r="C33" t="str">
        <f t="shared" si="4"/>
        <v>MMS  381 ELDEN STREET.</v>
      </c>
      <c r="D33" t="str">
        <f>T("MS 2510")</f>
        <v>MS 2510</v>
      </c>
      <c r="E33" t="s">
        <v>10</v>
      </c>
      <c r="F33" t="s">
        <v>10</v>
      </c>
      <c r="G33" t="str">
        <f t="shared" si="5"/>
        <v>HERNDON</v>
      </c>
      <c r="H33" t="str">
        <f t="shared" si="6"/>
        <v>VA </v>
      </c>
      <c r="I33" s="1" t="str">
        <f t="shared" si="7"/>
        <v>20170 4817</v>
      </c>
      <c r="J33" s="1" t="str">
        <f>T("703 787 1354")</f>
        <v>703 787 1354</v>
      </c>
      <c r="K33" s="1" t="str">
        <f>T("703 787 1009")</f>
        <v>703 787 1009</v>
      </c>
    </row>
    <row r="34" spans="1:11" ht="12.75">
      <c r="A34" s="1" t="s">
        <v>11</v>
      </c>
      <c r="B34" t="str">
        <f>T("SPT SVCS BR")</f>
        <v>SPT SVCS BR</v>
      </c>
      <c r="C34" t="str">
        <f t="shared" si="4"/>
        <v>MMS  381 ELDEN STREET.</v>
      </c>
      <c r="D34" t="str">
        <f>T("MS 2520")</f>
        <v>MS 2520</v>
      </c>
      <c r="E34" t="s">
        <v>10</v>
      </c>
      <c r="F34" t="s">
        <v>10</v>
      </c>
      <c r="G34" t="str">
        <f t="shared" si="5"/>
        <v>HERNDON</v>
      </c>
      <c r="H34" t="str">
        <f t="shared" si="6"/>
        <v>VA </v>
      </c>
      <c r="I34" s="1" t="str">
        <f t="shared" si="7"/>
        <v>20170 4817</v>
      </c>
      <c r="J34" s="1" t="str">
        <f>T("703 787 1002")</f>
        <v>703 787 1002</v>
      </c>
      <c r="K34" s="1" t="str">
        <f>T("703 787 1071")</f>
        <v>703 787 1071</v>
      </c>
    </row>
    <row r="35" spans="1:11" ht="12.75">
      <c r="A35" s="1" t="s">
        <v>11</v>
      </c>
      <c r="B35" t="str">
        <f>T("GENERAL SVCS BR")</f>
        <v>GENERAL SVCS BR</v>
      </c>
      <c r="C35" t="str">
        <f>T("MMS  1201 ELMWOOD PARK BOULEVARD")</f>
        <v>MMS  1201 ELMWOOD PARK BOULEVARD</v>
      </c>
      <c r="D35" t="str">
        <f>T("MS 2610")</f>
        <v>MS 2610</v>
      </c>
      <c r="E35" t="s">
        <v>10</v>
      </c>
      <c r="F35" t="s">
        <v>10</v>
      </c>
      <c r="G35" t="str">
        <f>T("NEW ORLEANS")</f>
        <v>NEW ORLEANS</v>
      </c>
      <c r="H35" t="str">
        <f>T("LA ")</f>
        <v>LA </v>
      </c>
      <c r="I35" s="1" t="str">
        <f>T("70123 2394")</f>
        <v>70123 2394</v>
      </c>
      <c r="J35" s="1" t="str">
        <f>T("504 736 2829")</f>
        <v>504 736 2829</v>
      </c>
      <c r="K35" s="1" t="str">
        <f>T("504 736 2858")</f>
        <v>504 736 2858</v>
      </c>
    </row>
    <row r="36" spans="1:11" ht="12.75">
      <c r="A36" s="1" t="s">
        <v>11</v>
      </c>
      <c r="B36" t="str">
        <f>T("GENERAL SVCS BR")</f>
        <v>GENERAL SVCS BR</v>
      </c>
      <c r="C36" t="str">
        <f>T("MMS  PO BOX 25165")</f>
        <v>MMS  PO BOX 25165</v>
      </c>
      <c r="D36" t="str">
        <f>T("MS 2710")</f>
        <v>MS 2710</v>
      </c>
      <c r="E36" t="s">
        <v>10</v>
      </c>
      <c r="F36" t="s">
        <v>10</v>
      </c>
      <c r="G36" t="str">
        <f>T("DENVER")</f>
        <v>DENVER</v>
      </c>
      <c r="H36" t="str">
        <f>T("CO ")</f>
        <v>CO </v>
      </c>
      <c r="I36" s="1" t="str">
        <f>T("80225 0165")</f>
        <v>80225 0165</v>
      </c>
      <c r="J36" s="1" t="str">
        <f>T("303 275 7351")</f>
        <v>303 275 7351</v>
      </c>
      <c r="K36" s="1" t="str">
        <f>T("303 275 7347")</f>
        <v>303 275 7347</v>
      </c>
    </row>
    <row r="37" spans="1:11" ht="12.75">
      <c r="A37" s="1" t="s">
        <v>11</v>
      </c>
      <c r="B37" t="str">
        <f>T("PERSONNEL BR")</f>
        <v>PERSONNEL BR</v>
      </c>
      <c r="C37" t="str">
        <f>T("MMS  PO BOX 25165")</f>
        <v>MMS  PO BOX 25165</v>
      </c>
      <c r="D37" t="str">
        <f>T("MS 2720")</f>
        <v>MS 2720</v>
      </c>
      <c r="E37" t="s">
        <v>10</v>
      </c>
      <c r="F37" t="s">
        <v>10</v>
      </c>
      <c r="G37" t="str">
        <f>T("DENVER")</f>
        <v>DENVER</v>
      </c>
      <c r="H37" t="str">
        <f>T("CO ")</f>
        <v>CO </v>
      </c>
      <c r="I37" s="1" t="str">
        <f>T("80225 0165")</f>
        <v>80225 0165</v>
      </c>
      <c r="J37" s="1" t="str">
        <f>T("303 275 7312")</f>
        <v>303 275 7312</v>
      </c>
      <c r="K37" s="1" t="str">
        <f>T("303 275 7347")</f>
        <v>303 275 7347</v>
      </c>
    </row>
    <row r="38" spans="1:11" ht="12.75">
      <c r="A38" s="1" t="s">
        <v>11</v>
      </c>
      <c r="B38" t="str">
        <f>T("PROCUREMENT BR")</f>
        <v>PROCUREMENT BR</v>
      </c>
      <c r="C38" t="str">
        <f>T("MMS  PO BOX 25165")</f>
        <v>MMS  PO BOX 25165</v>
      </c>
      <c r="D38" t="str">
        <f>T("MS 2730")</f>
        <v>MS 2730</v>
      </c>
      <c r="E38" t="s">
        <v>10</v>
      </c>
      <c r="F38" t="s">
        <v>10</v>
      </c>
      <c r="G38" t="str">
        <f>T("DENVER")</f>
        <v>DENVER</v>
      </c>
      <c r="H38" t="str">
        <f>T("CO ")</f>
        <v>CO </v>
      </c>
      <c r="I38" s="1" t="str">
        <f>T("80225 0165")</f>
        <v>80225 0165</v>
      </c>
      <c r="J38" s="1" t="str">
        <f>T("303 275 7371")</f>
        <v>303 275 7371</v>
      </c>
      <c r="K38" s="1" t="str">
        <f>T("303 275 7303")</f>
        <v>303 275 7303</v>
      </c>
    </row>
    <row r="39" spans="1:11" ht="12.75">
      <c r="A39" s="1" t="s">
        <v>11</v>
      </c>
      <c r="B39" t="str">
        <f>T("MAPPING AND BOUNDARY BR")</f>
        <v>MAPPING AND BOUNDARY BR</v>
      </c>
      <c r="C39" t="str">
        <f>T("MMS  PO BOX 25165")</f>
        <v>MMS  PO BOX 25165</v>
      </c>
      <c r="D39" t="str">
        <f>T("MS 4011")</f>
        <v>MS 4011</v>
      </c>
      <c r="E39" t="s">
        <v>10</v>
      </c>
      <c r="F39" t="s">
        <v>10</v>
      </c>
      <c r="G39" t="str">
        <f>T("DENVER")</f>
        <v>DENVER</v>
      </c>
      <c r="H39" t="str">
        <f>T("CO ")</f>
        <v>CO </v>
      </c>
      <c r="I39" s="1" t="str">
        <f>T("80225 0171")</f>
        <v>80225 0171</v>
      </c>
      <c r="J39" s="1" t="str">
        <f>T("303 275 7121")</f>
        <v>303 275 7121</v>
      </c>
      <c r="K39" s="1" t="str">
        <f>T("303 275 7106")</f>
        <v>303 275 7106</v>
      </c>
    </row>
    <row r="40" spans="1:11" ht="12.75">
      <c r="A40" s="1" t="s">
        <v>11</v>
      </c>
      <c r="B40" t="str">
        <f>T("ENGNRG AND RSCH BR")</f>
        <v>ENGNRG AND RSCH BR</v>
      </c>
      <c r="C40" t="str">
        <f>T("MMS  381 ELDEN STREET.")</f>
        <v>MMS  381 ELDEN STREET.</v>
      </c>
      <c r="D40" t="str">
        <f>T("MS 4021")</f>
        <v>MS 4021</v>
      </c>
      <c r="E40" t="s">
        <v>10</v>
      </c>
      <c r="F40" t="s">
        <v>10</v>
      </c>
      <c r="G40" t="str">
        <f>T("HERNDON")</f>
        <v>HERNDON</v>
      </c>
      <c r="H40" t="str">
        <f>T("VA ")</f>
        <v>VA </v>
      </c>
      <c r="I40" s="1" t="str">
        <f>T("20170 4817")</f>
        <v>20170 4817</v>
      </c>
      <c r="J40" s="1" t="str">
        <f>T("703 787 1626")</f>
        <v>703 787 1626</v>
      </c>
      <c r="K40" s="1" t="str">
        <f>T("703 787 1555")</f>
        <v>703 787 1555</v>
      </c>
    </row>
    <row r="41" spans="1:11" ht="12.75">
      <c r="A41" s="1" t="s">
        <v>11</v>
      </c>
      <c r="B41" t="str">
        <f>T("ENVMTL STUDIES BR")</f>
        <v>ENVMTL STUDIES BR</v>
      </c>
      <c r="C41" t="str">
        <f>T("MMS  381 ELDEN STREET.")</f>
        <v>MMS  381 ELDEN STREET.</v>
      </c>
      <c r="D41" t="str">
        <f>T("MS 4041")</f>
        <v>MS 4041</v>
      </c>
      <c r="E41" t="s">
        <v>10</v>
      </c>
      <c r="F41" t="s">
        <v>10</v>
      </c>
      <c r="G41" t="str">
        <f>T("HERNDON")</f>
        <v>HERNDON</v>
      </c>
      <c r="H41" t="str">
        <f>T("VA ")</f>
        <v>VA </v>
      </c>
      <c r="I41" s="1" t="str">
        <f>T("20170 4817")</f>
        <v>20170 4817</v>
      </c>
      <c r="J41" s="1" t="str">
        <f>T("703 787 1717")</f>
        <v>703 787 1717</v>
      </c>
      <c r="K41" s="1" t="str">
        <f>T("703 787 1053")</f>
        <v>703 787 1053</v>
      </c>
    </row>
    <row r="42" spans="1:11" ht="12.75">
      <c r="A42" s="1" t="s">
        <v>11</v>
      </c>
      <c r="B42" t="str">
        <f>T("SYSTEM INTEGRATION BR")</f>
        <v>SYSTEM INTEGRATION BR</v>
      </c>
      <c r="C42" t="str">
        <f>T("MMS  1201 ELMWOOD PARK BOULEVARD")</f>
        <v>MMS  1201 ELMWOOD PARK BOULEVARD</v>
      </c>
      <c r="D42" t="str">
        <f>T("MS 4062")</f>
        <v>MS 4062</v>
      </c>
      <c r="E42" t="s">
        <v>10</v>
      </c>
      <c r="F42" t="s">
        <v>10</v>
      </c>
      <c r="G42" t="str">
        <f>T("NEW ORLEANS")</f>
        <v>NEW ORLEANS</v>
      </c>
      <c r="H42" t="str">
        <f>T("LA ")</f>
        <v>LA </v>
      </c>
      <c r="I42" s="1" t="str">
        <f>T("70123 2394")</f>
        <v>70123 2394</v>
      </c>
      <c r="J42" s="1" t="str">
        <f>T("504 731 3017")</f>
        <v>504 731 3017</v>
      </c>
      <c r="K42" s="1" t="str">
        <f>T("504 731 3004")</f>
        <v>504 731 3004</v>
      </c>
    </row>
    <row r="43" spans="1:11" ht="12.75">
      <c r="A43" s="1" t="s">
        <v>11</v>
      </c>
      <c r="B43" t="str">
        <f>T("TECHNICAL SVCS BR")</f>
        <v>TECHNICAL SVCS BR</v>
      </c>
      <c r="C43" t="str">
        <f>T("MMS  381 ELDEN STREET.")</f>
        <v>MMS  381 ELDEN STREET.</v>
      </c>
      <c r="D43" t="str">
        <f>T("MS 4063")</f>
        <v>MS 4063</v>
      </c>
      <c r="E43" t="s">
        <v>10</v>
      </c>
      <c r="F43" t="s">
        <v>10</v>
      </c>
      <c r="G43" t="str">
        <f>T("HERNDON")</f>
        <v>HERNDON</v>
      </c>
      <c r="H43" t="str">
        <f>T("VA ")</f>
        <v>VA </v>
      </c>
      <c r="I43" s="1" t="str">
        <f>T("20170 4817")</f>
        <v>20170 4817</v>
      </c>
      <c r="J43" s="1" t="str">
        <f>T("703 787 1143")</f>
        <v>703 787 1143</v>
      </c>
      <c r="K43" s="1" t="str">
        <f>T("703 787 1050")</f>
        <v>703 787 1050</v>
      </c>
    </row>
    <row r="44" spans="1:11" ht="12.75">
      <c r="A44" s="1" t="s">
        <v>11</v>
      </c>
      <c r="B44" t="str">
        <f>T("OFC OF BUDGET AND SPT SVCS")</f>
        <v>OFC OF BUDGET AND SPT SVCS</v>
      </c>
      <c r="C44" t="str">
        <f aca="true" t="shared" si="8" ref="C44:C50">T("MMS  1201 ELMWOOD PARK BOULEVARD")</f>
        <v>MMS  1201 ELMWOOD PARK BOULEVARD</v>
      </c>
      <c r="D44" t="str">
        <f>T("MS 5010")</f>
        <v>MS 5010</v>
      </c>
      <c r="E44" t="s">
        <v>10</v>
      </c>
      <c r="F44" t="s">
        <v>10</v>
      </c>
      <c r="G44" t="str">
        <f aca="true" t="shared" si="9" ref="G44:G50">T("NEW ORLEANS")</f>
        <v>NEW ORLEANS</v>
      </c>
      <c r="H44" t="str">
        <f aca="true" t="shared" si="10" ref="H44:H50">T("LA ")</f>
        <v>LA </v>
      </c>
      <c r="I44" s="1" t="str">
        <f aca="true" t="shared" si="11" ref="I44:I50">T("70123 2394")</f>
        <v>70123 2394</v>
      </c>
      <c r="J44" s="1" t="str">
        <f>T("504 736 2617")</f>
        <v>504 736 2617</v>
      </c>
      <c r="K44" s="1" t="str">
        <f>T("504 736 2459")</f>
        <v>504 736 2459</v>
      </c>
    </row>
    <row r="45" spans="1:11" ht="12.75">
      <c r="A45" s="1" t="s">
        <v>11</v>
      </c>
      <c r="B45" t="str">
        <f>T("OFC OF INFO TECH SERV")</f>
        <v>OFC OF INFO TECH SERV</v>
      </c>
      <c r="C45" t="str">
        <f t="shared" si="8"/>
        <v>MMS  1201 ELMWOOD PARK BOULEVARD</v>
      </c>
      <c r="D45" t="str">
        <f>T("MS 5040")</f>
        <v>MS 5040</v>
      </c>
      <c r="E45" t="s">
        <v>10</v>
      </c>
      <c r="F45" t="s">
        <v>10</v>
      </c>
      <c r="G45" t="str">
        <f t="shared" si="9"/>
        <v>NEW ORLEANS</v>
      </c>
      <c r="H45" t="str">
        <f t="shared" si="10"/>
        <v>LA </v>
      </c>
      <c r="I45" s="1" t="str">
        <f t="shared" si="11"/>
        <v>70123 2394</v>
      </c>
      <c r="J45" s="1" t="str">
        <f>T("504 736 2729")</f>
        <v>504 736 2729</v>
      </c>
      <c r="K45" s="1" t="str">
        <f>T("504 736 2464")</f>
        <v>504 736 2464</v>
      </c>
    </row>
    <row r="46" spans="1:11" ht="12.75">
      <c r="A46" s="1" t="s">
        <v>11</v>
      </c>
      <c r="B46" t="str">
        <f>T("OFC OF INFO MGMT SERV")</f>
        <v>OFC OF INFO MGMT SERV</v>
      </c>
      <c r="C46" t="str">
        <f t="shared" si="8"/>
        <v>MMS  1201 ELMWOOD PARK BOULEVARD</v>
      </c>
      <c r="D46" t="str">
        <f>T("MS 5011")</f>
        <v>MS 5011</v>
      </c>
      <c r="E46" t="s">
        <v>10</v>
      </c>
      <c r="F46" t="s">
        <v>10</v>
      </c>
      <c r="G46" t="str">
        <f t="shared" si="9"/>
        <v>NEW ORLEANS</v>
      </c>
      <c r="H46" t="str">
        <f t="shared" si="10"/>
        <v>LA </v>
      </c>
      <c r="I46" s="1" t="str">
        <f t="shared" si="11"/>
        <v>70123 2394</v>
      </c>
      <c r="J46" s="1" t="str">
        <f>T("504 736 2603")</f>
        <v>504 736 2603</v>
      </c>
      <c r="K46" s="1" t="str">
        <f>T("504 731 7802")</f>
        <v>504 731 7802</v>
      </c>
    </row>
    <row r="47" spans="1:11" ht="12.75">
      <c r="A47" s="1" t="s">
        <v>11</v>
      </c>
      <c r="B47" t="str">
        <f>T("GOMR REG SUPV FOR RSC EVL")</f>
        <v>GOMR REG SUPV FOR RSC EVL</v>
      </c>
      <c r="C47" t="str">
        <f t="shared" si="8"/>
        <v>MMS  1201 ELMWOOD PARK BOULEVARD</v>
      </c>
      <c r="D47" t="str">
        <f>T("MS 5100")</f>
        <v>MS 5100</v>
      </c>
      <c r="E47" t="s">
        <v>10</v>
      </c>
      <c r="F47" t="s">
        <v>10</v>
      </c>
      <c r="G47" t="str">
        <f t="shared" si="9"/>
        <v>NEW ORLEANS</v>
      </c>
      <c r="H47" t="str">
        <f t="shared" si="10"/>
        <v>LA </v>
      </c>
      <c r="I47" s="1" t="str">
        <f t="shared" si="11"/>
        <v>70123 2394</v>
      </c>
      <c r="J47" s="1" t="str">
        <f>T("504 736 2710")</f>
        <v>504 736 2710</v>
      </c>
      <c r="K47" s="1" t="str">
        <f>T("504 736 2905")</f>
        <v>504 736 2905</v>
      </c>
    </row>
    <row r="48" spans="1:11" ht="12.75">
      <c r="A48" s="1" t="s">
        <v>11</v>
      </c>
      <c r="B48" t="str">
        <f>T("GOMR REG SUPV FOR FIELD OPERTS")</f>
        <v>GOMR REG SUPV FOR FIELD OPERTS</v>
      </c>
      <c r="C48" t="str">
        <f t="shared" si="8"/>
        <v>MMS  1201 ELMWOOD PARK BOULEVARD</v>
      </c>
      <c r="D48" t="str">
        <f>T("MS 5200")</f>
        <v>MS 5200</v>
      </c>
      <c r="E48" t="s">
        <v>10</v>
      </c>
      <c r="F48" t="s">
        <v>10</v>
      </c>
      <c r="G48" t="str">
        <f t="shared" si="9"/>
        <v>NEW ORLEANS</v>
      </c>
      <c r="H48" t="str">
        <f t="shared" si="10"/>
        <v>LA </v>
      </c>
      <c r="I48" s="1" t="str">
        <f t="shared" si="11"/>
        <v>70123 2394</v>
      </c>
      <c r="J48" s="1" t="str">
        <f>T("504 736 2845")</f>
        <v>504 736 2845</v>
      </c>
      <c r="K48" s="1" t="str">
        <f>T("504 736 2426")</f>
        <v>504 736 2426</v>
      </c>
    </row>
    <row r="49" spans="1:11" ht="12.75">
      <c r="A49" s="1" t="s">
        <v>11</v>
      </c>
      <c r="B49" t="str">
        <f>T("GOMR REG SUPV FOR PROD &amp; DEVLT")</f>
        <v>GOMR REG SUPV FOR PROD &amp; DEVLT</v>
      </c>
      <c r="C49" t="str">
        <f t="shared" si="8"/>
        <v>MMS  1201 ELMWOOD PARK BOULEVARD</v>
      </c>
      <c r="D49" t="str">
        <f>T("MS 5300")</f>
        <v>MS 5300</v>
      </c>
      <c r="E49" t="s">
        <v>10</v>
      </c>
      <c r="F49" t="s">
        <v>10</v>
      </c>
      <c r="G49" t="str">
        <f t="shared" si="9"/>
        <v>NEW ORLEANS</v>
      </c>
      <c r="H49" t="str">
        <f t="shared" si="10"/>
        <v>LA </v>
      </c>
      <c r="I49" s="1" t="str">
        <f t="shared" si="11"/>
        <v>70123 2394</v>
      </c>
      <c r="J49" s="1" t="str">
        <f>T("504 736 2675")</f>
        <v>504 736 2675</v>
      </c>
      <c r="K49" s="1" t="str">
        <f>T("504 736 2647")</f>
        <v>504 736 2647</v>
      </c>
    </row>
    <row r="50" spans="1:11" ht="12.75">
      <c r="A50" s="1" t="s">
        <v>11</v>
      </c>
      <c r="B50" t="str">
        <f>T("GOMR REG SUPV FOR LEAS &amp; ENVIR")</f>
        <v>GOMR REG SUPV FOR LEAS &amp; ENVIR</v>
      </c>
      <c r="C50" t="str">
        <f t="shared" si="8"/>
        <v>MMS  1201 ELMWOOD PARK BOULEVARD</v>
      </c>
      <c r="D50" t="str">
        <f>T("MS 5400")</f>
        <v>MS 5400</v>
      </c>
      <c r="E50" t="s">
        <v>10</v>
      </c>
      <c r="F50" t="s">
        <v>10</v>
      </c>
      <c r="G50" t="str">
        <f t="shared" si="9"/>
        <v>NEW ORLEANS</v>
      </c>
      <c r="H50" t="str">
        <f t="shared" si="10"/>
        <v>LA </v>
      </c>
      <c r="I50" s="1" t="str">
        <f t="shared" si="11"/>
        <v>70123 2394</v>
      </c>
      <c r="J50" s="1" t="str">
        <f>T("504 736 2759")</f>
        <v>504 736 2759</v>
      </c>
      <c r="K50" s="1" t="str">
        <f>T("504 736 2631")</f>
        <v>504 736 2631</v>
      </c>
    </row>
    <row r="51" spans="1:11" ht="12.75">
      <c r="A51" s="1" t="s">
        <v>11</v>
      </c>
      <c r="B51" t="str">
        <f>T("OFC OF PROGRAM SVCS")</f>
        <v>OFC OF PROGRAM SVCS</v>
      </c>
      <c r="C51" t="str">
        <f>T("MMS  770 PASEO CAMARILLO")</f>
        <v>MMS  770 PASEO CAMARILLO</v>
      </c>
      <c r="D51" t="str">
        <f>T("MS 7001")</f>
        <v>MS 7001</v>
      </c>
      <c r="E51" t="s">
        <v>10</v>
      </c>
      <c r="F51" t="s">
        <v>10</v>
      </c>
      <c r="G51" t="str">
        <f>T("CAMARILLO")</f>
        <v>CAMARILLO</v>
      </c>
      <c r="H51" t="str">
        <f>T("CA ")</f>
        <v>CA </v>
      </c>
      <c r="I51" s="1" t="str">
        <f>T("93010 6092")</f>
        <v>93010 6092</v>
      </c>
      <c r="J51" s="1" t="str">
        <f>T("805 389 7604")</f>
        <v>805 389 7604</v>
      </c>
      <c r="K51" s="1" t="str">
        <f>T("805 389 7637")</f>
        <v>805 389 7637</v>
      </c>
    </row>
    <row r="52" spans="1:11" ht="12.75">
      <c r="A52" s="1" t="s">
        <v>11</v>
      </c>
      <c r="B52" t="str">
        <f>T("PR REG SUPV FOR ENVIRON EVAL")</f>
        <v>PR REG SUPV FOR ENVIRON EVAL</v>
      </c>
      <c r="C52" t="str">
        <f>T("MMS  770 PASEO CAMARILLO")</f>
        <v>MMS  770 PASEO CAMARILLO</v>
      </c>
      <c r="D52" t="str">
        <f>T("MS 7300")</f>
        <v>MS 7300</v>
      </c>
      <c r="E52" t="s">
        <v>10</v>
      </c>
      <c r="F52" t="s">
        <v>10</v>
      </c>
      <c r="G52" t="str">
        <f>T("CAMARILLO")</f>
        <v>CAMARILLO</v>
      </c>
      <c r="H52" t="str">
        <f>T("CA ")</f>
        <v>CA </v>
      </c>
      <c r="I52" s="1" t="str">
        <f>T("93010 6092")</f>
        <v>93010 6092</v>
      </c>
      <c r="J52" s="1" t="str">
        <f>T("805 389 7801")</f>
        <v>805 389 7801</v>
      </c>
      <c r="K52" s="1" t="str">
        <f>T("805 389 7500")</f>
        <v>805 389 7500</v>
      </c>
    </row>
    <row r="53" spans="1:11" ht="12.75">
      <c r="A53" s="1" t="s">
        <v>11</v>
      </c>
      <c r="B53" t="str">
        <f>T("OFC OF PROGRAM SVCS")</f>
        <v>OFC OF PROGRAM SVCS</v>
      </c>
      <c r="C53" t="str">
        <f>T("MMS  949 E. 36TH AVENUE")</f>
        <v>MMS  949 E. 36TH AVENUE</v>
      </c>
      <c r="D53" t="str">
        <f>T("ROOM 308  MS 8001")</f>
        <v>ROOM 308  MS 8001</v>
      </c>
      <c r="E53" t="str">
        <f>T("MS 8001")</f>
        <v>MS 8001</v>
      </c>
      <c r="F53" t="s">
        <v>10</v>
      </c>
      <c r="G53" t="str">
        <f>T("ANCHORAGE")</f>
        <v>ANCHORAGE</v>
      </c>
      <c r="H53" t="str">
        <f>T("AK")</f>
        <v>AK</v>
      </c>
      <c r="I53" s="1" t="str">
        <f>T("99508 4363")</f>
        <v>99508 4363</v>
      </c>
      <c r="J53" s="1" t="str">
        <f>T("907 271 6013")</f>
        <v>907 271 6013</v>
      </c>
      <c r="K53" s="1" t="str">
        <f>T("907 271 6805")</f>
        <v>907 271 6805</v>
      </c>
    </row>
    <row r="54" spans="1:11" ht="12.75">
      <c r="A54" s="1" t="s">
        <v>11</v>
      </c>
      <c r="B54" t="str">
        <f>T("AR REG SUPV FOR RSRC EVALTN")</f>
        <v>AR REG SUPV FOR RSRC EVALTN</v>
      </c>
      <c r="C54" t="str">
        <f>T("MMS  949 E. 36TH AVENUE")</f>
        <v>MMS  949 E. 36TH AVENUE</v>
      </c>
      <c r="D54" t="str">
        <f>T("ROOM 308  MS 8100")</f>
        <v>ROOM 308  MS 8100</v>
      </c>
      <c r="E54" t="str">
        <f>T("MS 8100")</f>
        <v>MS 8100</v>
      </c>
      <c r="F54" t="s">
        <v>10</v>
      </c>
      <c r="G54" t="str">
        <f>T("ANCHORAGE")</f>
        <v>ANCHORAGE</v>
      </c>
      <c r="H54" t="str">
        <f>T("AK")</f>
        <v>AK</v>
      </c>
      <c r="I54" s="1" t="str">
        <f>T("99508 4363")</f>
        <v>99508 4363</v>
      </c>
      <c r="J54" s="1" t="str">
        <f>T("907 271 6060")</f>
        <v>907 271 6060</v>
      </c>
      <c r="K54" s="1" t="str">
        <f>T("907 271 6565")</f>
        <v>907 271 6565</v>
      </c>
    </row>
    <row r="55" spans="1:11" ht="12.75">
      <c r="A55" s="1" t="s">
        <v>11</v>
      </c>
      <c r="B55" t="str">
        <f>T("AR REG SUPV FOR FIELD OPRTNS")</f>
        <v>AR REG SUPV FOR FIELD OPRTNS</v>
      </c>
      <c r="C55" t="str">
        <f>T("MMS  949 E. 36TH AVENUE")</f>
        <v>MMS  949 E. 36TH AVENUE</v>
      </c>
      <c r="D55" t="str">
        <f>T("ROOM 308  MS 8200")</f>
        <v>ROOM 308  MS 8200</v>
      </c>
      <c r="E55" t="str">
        <f>T("MS 8200")</f>
        <v>MS 8200</v>
      </c>
      <c r="F55" t="s">
        <v>10</v>
      </c>
      <c r="G55" t="str">
        <f>T("ANCHORAGE")</f>
        <v>ANCHORAGE</v>
      </c>
      <c r="H55" t="str">
        <f>T("AK")</f>
        <v>AK</v>
      </c>
      <c r="I55" s="1" t="str">
        <f>T("99508 4363")</f>
        <v>99508 4363</v>
      </c>
      <c r="J55" s="1" t="str">
        <f>T("907 271 6065")</f>
        <v>907 271 6065</v>
      </c>
      <c r="K55" s="1" t="str">
        <f>T("907 271 6805")</f>
        <v>907 271 6805</v>
      </c>
    </row>
    <row r="56" spans="1:11" ht="12.75">
      <c r="A56" s="1" t="s">
        <v>11</v>
      </c>
      <c r="B56" t="str">
        <f>T("REPORTS BR")</f>
        <v>REPORTS BR</v>
      </c>
      <c r="C56" t="str">
        <f>T("MMS  PO BOX 25165")</f>
        <v>MMS  PO BOX 25165</v>
      </c>
      <c r="D56" t="str">
        <f>T("MS 3132")</f>
        <v>MS 3132</v>
      </c>
      <c r="E56" t="s">
        <v>10</v>
      </c>
      <c r="F56" t="s">
        <v>10</v>
      </c>
      <c r="G56" t="str">
        <f>T("DENVER")</f>
        <v>DENVER</v>
      </c>
      <c r="H56" t="str">
        <f>T("CO ")</f>
        <v>CO </v>
      </c>
      <c r="I56" s="1" t="str">
        <f>T("80225 0165")</f>
        <v>80225 0165</v>
      </c>
      <c r="J56" s="1" t="str">
        <f>T("303 231 3403")</f>
        <v>303 231 3403</v>
      </c>
      <c r="K56" s="1" t="str">
        <f>T("303 231 3700")</f>
        <v>303 231 3700</v>
      </c>
    </row>
    <row r="57" spans="1:11" ht="12.75">
      <c r="A57" s="1" t="s">
        <v>11</v>
      </c>
      <c r="B57" t="str">
        <f>T("SPT SVCS SECTION")</f>
        <v>SPT SVCS SECTION</v>
      </c>
      <c r="C57" t="str">
        <f aca="true" t="shared" si="12" ref="C57:C67">T("MMS  1201 ELMWOOD PARK BOULEVARD")</f>
        <v>MMS  1201 ELMWOOD PARK BOULEVARD</v>
      </c>
      <c r="D57" t="str">
        <f>T("MS 2611")</f>
        <v>MS 2611</v>
      </c>
      <c r="E57" t="s">
        <v>10</v>
      </c>
      <c r="F57" t="s">
        <v>10</v>
      </c>
      <c r="G57" t="str">
        <f aca="true" t="shared" si="13" ref="G57:G67">T("NEW ORLEANS")</f>
        <v>NEW ORLEANS</v>
      </c>
      <c r="H57" t="str">
        <f aca="true" t="shared" si="14" ref="H57:H67">T("LA ")</f>
        <v>LA </v>
      </c>
      <c r="I57" s="1" t="str">
        <f aca="true" t="shared" si="15" ref="I57:I67">T("70123 2394")</f>
        <v>70123 2394</v>
      </c>
      <c r="J57" s="1" t="str">
        <f>T("504 736 2831")</f>
        <v>504 736 2831</v>
      </c>
      <c r="K57" s="1" t="str">
        <f>T("504 736 2610")</f>
        <v>504 736 2610</v>
      </c>
    </row>
    <row r="58" spans="1:11" ht="12.75">
      <c r="A58" s="1" t="s">
        <v>11</v>
      </c>
      <c r="B58" t="str">
        <f>T("PROCUREMENT SECTION")</f>
        <v>PROCUREMENT SECTION</v>
      </c>
      <c r="C58" t="str">
        <f t="shared" si="12"/>
        <v>MMS  1201 ELMWOOD PARK BOULEVARD</v>
      </c>
      <c r="D58" t="str">
        <f>T("MS 2612")</f>
        <v>MS 2612</v>
      </c>
      <c r="E58" t="s">
        <v>10</v>
      </c>
      <c r="F58" t="s">
        <v>10</v>
      </c>
      <c r="G58" t="str">
        <f t="shared" si="13"/>
        <v>NEW ORLEANS</v>
      </c>
      <c r="H58" t="str">
        <f t="shared" si="14"/>
        <v>LA </v>
      </c>
      <c r="I58" s="1" t="str">
        <f t="shared" si="15"/>
        <v>70123 2394</v>
      </c>
      <c r="J58" s="1" t="str">
        <f>T("504 736 2829")</f>
        <v>504 736 2829</v>
      </c>
      <c r="K58" s="1" t="str">
        <f>T("504 736 2858")</f>
        <v>504 736 2858</v>
      </c>
    </row>
    <row r="59" spans="1:11" ht="12.75">
      <c r="A59" s="1" t="s">
        <v>11</v>
      </c>
      <c r="B59" t="str">
        <f>T("ADP OPS SECTION")</f>
        <v>ADP OPS SECTION</v>
      </c>
      <c r="C59" t="str">
        <f t="shared" si="12"/>
        <v>MMS  1201 ELMWOOD PARK BOULEVARD</v>
      </c>
      <c r="D59" t="str">
        <f>T("MS 5040")</f>
        <v>MS 5040</v>
      </c>
      <c r="E59" t="s">
        <v>10</v>
      </c>
      <c r="F59" t="s">
        <v>10</v>
      </c>
      <c r="G59" t="str">
        <f t="shared" si="13"/>
        <v>NEW ORLEANS</v>
      </c>
      <c r="H59" t="str">
        <f t="shared" si="14"/>
        <v>LA </v>
      </c>
      <c r="I59" s="1" t="str">
        <f t="shared" si="15"/>
        <v>70123 2394</v>
      </c>
      <c r="J59" s="1" t="str">
        <f>T("504 736 2729")</f>
        <v>504 736 2729</v>
      </c>
      <c r="K59" s="1" t="str">
        <f>T("504 736 2464")</f>
        <v>504 736 2464</v>
      </c>
    </row>
    <row r="60" spans="1:11" ht="12.75">
      <c r="A60" s="1" t="s">
        <v>11</v>
      </c>
      <c r="B60" t="str">
        <f>T("VISUAL INFO SECTION")</f>
        <v>VISUAL INFO SECTION</v>
      </c>
      <c r="C60" t="str">
        <f t="shared" si="12"/>
        <v>MMS  1201 ELMWOOD PARK BOULEVARD</v>
      </c>
      <c r="D60" t="str">
        <f>T("MS 5060")</f>
        <v>MS 5060</v>
      </c>
      <c r="E60" t="s">
        <v>10</v>
      </c>
      <c r="F60" t="s">
        <v>10</v>
      </c>
      <c r="G60" t="str">
        <f t="shared" si="13"/>
        <v>NEW ORLEANS</v>
      </c>
      <c r="H60" t="str">
        <f t="shared" si="14"/>
        <v>LA </v>
      </c>
      <c r="I60" s="1" t="str">
        <f t="shared" si="15"/>
        <v>70123 2394</v>
      </c>
      <c r="J60" s="1" t="str">
        <f>T("504 736 2949")</f>
        <v>504 736 2949</v>
      </c>
      <c r="K60" s="1" t="str">
        <f>T("504 731 7802")</f>
        <v>504 731 7802</v>
      </c>
    </row>
    <row r="61" spans="1:11" ht="12.75">
      <c r="A61" s="1" t="s">
        <v>11</v>
      </c>
      <c r="B61" t="str">
        <f>T("TECHNICAL DATA MGMT SECTION")</f>
        <v>TECHNICAL DATA MGMT SECTION</v>
      </c>
      <c r="C61" t="str">
        <f t="shared" si="12"/>
        <v>MMS  1201 ELMWOOD PARK BOULEVARD</v>
      </c>
      <c r="D61" t="str">
        <f>T("MS 5020")</f>
        <v>MS 5020</v>
      </c>
      <c r="E61" t="s">
        <v>10</v>
      </c>
      <c r="F61" t="s">
        <v>10</v>
      </c>
      <c r="G61" t="str">
        <f t="shared" si="13"/>
        <v>NEW ORLEANS</v>
      </c>
      <c r="H61" t="str">
        <f t="shared" si="14"/>
        <v>LA </v>
      </c>
      <c r="I61" s="1" t="str">
        <f t="shared" si="15"/>
        <v>70123 2394</v>
      </c>
      <c r="J61" s="1" t="str">
        <f>T("504 736 2887")</f>
        <v>504 736 2887</v>
      </c>
      <c r="K61" s="1" t="str">
        <f>T("504 736 2857")</f>
        <v>504 736 2857</v>
      </c>
    </row>
    <row r="62" spans="1:11" ht="12.75">
      <c r="A62" s="1" t="s">
        <v>11</v>
      </c>
      <c r="B62" t="str">
        <f>T("GEOLOGICAL &amp; GEOPHYSICAL SEC")</f>
        <v>GEOLOGICAL &amp; GEOPHYSICAL SEC</v>
      </c>
      <c r="C62" t="str">
        <f t="shared" si="12"/>
        <v>MMS  1201 ELMWOOD PARK BOULEVARD</v>
      </c>
      <c r="D62" t="str">
        <f>T("MS 5110")</f>
        <v>MS 5110</v>
      </c>
      <c r="E62" t="s">
        <v>10</v>
      </c>
      <c r="F62" t="s">
        <v>10</v>
      </c>
      <c r="G62" t="str">
        <f t="shared" si="13"/>
        <v>NEW ORLEANS</v>
      </c>
      <c r="H62" t="str">
        <f t="shared" si="14"/>
        <v>LA </v>
      </c>
      <c r="I62" s="1" t="str">
        <f t="shared" si="15"/>
        <v>70123 2394</v>
      </c>
      <c r="J62" s="1" t="str">
        <f>T("504 736 2565")</f>
        <v>504 736 2565</v>
      </c>
      <c r="K62" s="1" t="str">
        <f>T("504 736 2905")</f>
        <v>504 736 2905</v>
      </c>
    </row>
    <row r="63" spans="1:11" ht="12.75">
      <c r="A63" s="1" t="s">
        <v>11</v>
      </c>
      <c r="B63" t="str">
        <f>T("RESERVES SECTION")</f>
        <v>RESERVES SECTION</v>
      </c>
      <c r="C63" t="str">
        <f t="shared" si="12"/>
        <v>MMS  1201 ELMWOOD PARK BOULEVARD</v>
      </c>
      <c r="D63" t="str">
        <f>T("MS 5130")</f>
        <v>MS 5130</v>
      </c>
      <c r="E63" t="s">
        <v>10</v>
      </c>
      <c r="F63" t="s">
        <v>10</v>
      </c>
      <c r="G63" t="str">
        <f t="shared" si="13"/>
        <v>NEW ORLEANS</v>
      </c>
      <c r="H63" t="str">
        <f t="shared" si="14"/>
        <v>LA </v>
      </c>
      <c r="I63" s="1" t="str">
        <f t="shared" si="15"/>
        <v>70123 2394</v>
      </c>
      <c r="J63" s="1" t="str">
        <f>T("504 736 2429")</f>
        <v>504 736 2429</v>
      </c>
      <c r="K63" s="1" t="str">
        <f>T("504 736 2905")</f>
        <v>504 736 2905</v>
      </c>
    </row>
    <row r="64" spans="1:11" ht="12.75">
      <c r="A64" s="1" t="s">
        <v>11</v>
      </c>
      <c r="B64" t="str">
        <f>T("TECH ASMNT &amp; OPERS SPT SEC")</f>
        <v>TECH ASMNT &amp; OPERS SPT SEC</v>
      </c>
      <c r="C64" t="str">
        <f t="shared" si="12"/>
        <v>MMS  1201 ELMWOOD PARK BOULEVARD</v>
      </c>
      <c r="D64" t="str">
        <f>T("MS 5220")</f>
        <v>MS 5220</v>
      </c>
      <c r="E64" t="s">
        <v>10</v>
      </c>
      <c r="F64" t="s">
        <v>10</v>
      </c>
      <c r="G64" t="str">
        <f t="shared" si="13"/>
        <v>NEW ORLEANS</v>
      </c>
      <c r="H64" t="str">
        <f t="shared" si="14"/>
        <v>LA </v>
      </c>
      <c r="I64" s="1" t="str">
        <f t="shared" si="15"/>
        <v>70123 2394</v>
      </c>
      <c r="J64" s="1" t="str">
        <f>T("504 736 2528")</f>
        <v>504 736 2528</v>
      </c>
      <c r="K64" s="1" t="str">
        <f>T("504 736 2941")</f>
        <v>504 736 2941</v>
      </c>
    </row>
    <row r="65" spans="1:11" ht="12.75">
      <c r="A65" s="1" t="s">
        <v>11</v>
      </c>
      <c r="B65" t="str">
        <f>T("OFC OF STRUCT &amp; TECHN SPT")</f>
        <v>OFC OF STRUCT &amp; TECHN SPT</v>
      </c>
      <c r="C65" t="str">
        <f t="shared" si="12"/>
        <v>MMS  1201 ELMWOOD PARK BOULEVARD</v>
      </c>
      <c r="D65" t="str">
        <f>T("MS 5210")</f>
        <v>MS 5210</v>
      </c>
      <c r="E65" t="s">
        <v>10</v>
      </c>
      <c r="F65" t="s">
        <v>10</v>
      </c>
      <c r="G65" t="str">
        <f t="shared" si="13"/>
        <v>NEW ORLEANS</v>
      </c>
      <c r="H65" t="str">
        <f t="shared" si="14"/>
        <v>LA </v>
      </c>
      <c r="I65" s="1" t="str">
        <f t="shared" si="15"/>
        <v>70123 2394</v>
      </c>
      <c r="J65" s="1" t="str">
        <f>T("504 736 2895")</f>
        <v>504 736 2895</v>
      </c>
      <c r="K65" s="1" t="str">
        <f>T("504 736 1747")</f>
        <v>504 736 1747</v>
      </c>
    </row>
    <row r="66" spans="1:11" ht="12.75">
      <c r="A66" s="1" t="s">
        <v>11</v>
      </c>
      <c r="B66" t="str">
        <f>T("PLANS SECTION")</f>
        <v>PLANS SECTION</v>
      </c>
      <c r="C66" t="str">
        <f t="shared" si="12"/>
        <v>MMS  1201 ELMWOOD PARK BOULEVARD</v>
      </c>
      <c r="D66" t="str">
        <f>T("MS 5231")</f>
        <v>MS 5231</v>
      </c>
      <c r="E66" t="s">
        <v>10</v>
      </c>
      <c r="F66" t="s">
        <v>10</v>
      </c>
      <c r="G66" t="str">
        <f t="shared" si="13"/>
        <v>NEW ORLEANS</v>
      </c>
      <c r="H66" t="str">
        <f t="shared" si="14"/>
        <v>LA </v>
      </c>
      <c r="I66" s="1" t="str">
        <f t="shared" si="15"/>
        <v>70123 2394</v>
      </c>
      <c r="J66" s="1" t="str">
        <f>T("504 736 2546")</f>
        <v>504 736 2546</v>
      </c>
      <c r="K66" s="1" t="str">
        <f>T("504 736 2960")</f>
        <v>504 736 2960</v>
      </c>
    </row>
    <row r="67" spans="1:11" ht="12.75">
      <c r="A67" s="1" t="s">
        <v>11</v>
      </c>
      <c r="B67" t="str">
        <f>T("PIPELINE SECTION")</f>
        <v>PIPELINE SECTION</v>
      </c>
      <c r="C67" t="str">
        <f t="shared" si="12"/>
        <v>MMS  1201 ELMWOOD PARK BOULEVARD</v>
      </c>
      <c r="D67" t="str">
        <f>T("MS 5232")</f>
        <v>MS 5232</v>
      </c>
      <c r="E67" t="s">
        <v>10</v>
      </c>
      <c r="F67" t="s">
        <v>10</v>
      </c>
      <c r="G67" t="str">
        <f t="shared" si="13"/>
        <v>NEW ORLEANS</v>
      </c>
      <c r="H67" t="str">
        <f t="shared" si="14"/>
        <v>LA </v>
      </c>
      <c r="I67" s="1" t="str">
        <f t="shared" si="15"/>
        <v>70123 2394</v>
      </c>
      <c r="J67" s="1" t="str">
        <f>T("504 736 2814")</f>
        <v>504 736 2814</v>
      </c>
      <c r="K67" s="1" t="str">
        <f>T("504 736 2408")</f>
        <v>504 736 2408</v>
      </c>
    </row>
    <row r="68" spans="1:11" ht="12.75">
      <c r="A68" s="1" t="s">
        <v>11</v>
      </c>
      <c r="B68" t="str">
        <f>T("LAKE JACKSON DISTRICT")</f>
        <v>LAKE JACKSON DISTRICT</v>
      </c>
      <c r="C68" t="str">
        <f>T("MMS  102 OAK PARK DRIVE  SUITE 200")</f>
        <v>MMS  102 OAK PARK DRIVE  SUITE 200</v>
      </c>
      <c r="D68" t="str">
        <f>T("MS 5270")</f>
        <v>MS 5270</v>
      </c>
      <c r="E68" t="s">
        <v>10</v>
      </c>
      <c r="F68" t="s">
        <v>10</v>
      </c>
      <c r="G68" t="str">
        <f>T("CLUTE")</f>
        <v>CLUTE</v>
      </c>
      <c r="H68" t="str">
        <f>T("TX ")</f>
        <v>TX </v>
      </c>
      <c r="I68" s="1" t="str">
        <f>T("77531 3959")</f>
        <v>77531 3959</v>
      </c>
      <c r="J68" s="1" t="str">
        <f>T("979 266 1003")</f>
        <v>979 266 1003</v>
      </c>
      <c r="K68" s="1" t="str">
        <f>T("979 265 7206")</f>
        <v>979 265 7206</v>
      </c>
    </row>
    <row r="69" spans="1:11" ht="12.75">
      <c r="A69" s="1" t="s">
        <v>11</v>
      </c>
      <c r="B69" t="str">
        <f>T("LAFAYETTE DISTRICT")</f>
        <v>LAFAYETTE DISTRICT</v>
      </c>
      <c r="C69" t="str">
        <f>T("MMS  201 ENERGY PARKWAY  SUITE 410")</f>
        <v>MMS  201 ENERGY PARKWAY  SUITE 410</v>
      </c>
      <c r="D69" t="str">
        <f>T("MS 5280")</f>
        <v>MS 5280</v>
      </c>
      <c r="E69" t="s">
        <v>10</v>
      </c>
      <c r="F69" t="s">
        <v>10</v>
      </c>
      <c r="G69" t="str">
        <f>T("LAFAYETTE")</f>
        <v>LAFAYETTE</v>
      </c>
      <c r="H69" t="str">
        <f>T("LA ")</f>
        <v>LA </v>
      </c>
      <c r="I69" s="1" t="str">
        <f>T("70508 3839")</f>
        <v>70508 3839</v>
      </c>
      <c r="J69" s="1" t="str">
        <f>T("337 289 5102")</f>
        <v>337 289 5102</v>
      </c>
      <c r="K69" s="1" t="str">
        <f>T("318 262 6620")</f>
        <v>318 262 6620</v>
      </c>
    </row>
    <row r="70" spans="1:11" ht="12.75">
      <c r="A70" s="1" t="s">
        <v>11</v>
      </c>
      <c r="B70" t="str">
        <f>T("NEW ORLEANS DISTRICT")</f>
        <v>NEW ORLEANS DISTRICT</v>
      </c>
      <c r="C70" t="str">
        <f>T("MMS  990 N. CORPORATE DRIVE  SUITE 100")</f>
        <v>MMS  990 N. CORPORATE DRIVE  SUITE 100</v>
      </c>
      <c r="D70" t="str">
        <f>T("MS 5250")</f>
        <v>MS 5250</v>
      </c>
      <c r="E70" t="s">
        <v>10</v>
      </c>
      <c r="F70" t="s">
        <v>10</v>
      </c>
      <c r="G70" t="str">
        <f>T("NEW ORLEANS")</f>
        <v>NEW ORLEANS</v>
      </c>
      <c r="H70" t="str">
        <f>T("LA ")</f>
        <v>LA </v>
      </c>
      <c r="I70" s="1" t="str">
        <f>T("70123 2394")</f>
        <v>70123 2394</v>
      </c>
      <c r="J70" s="1" t="str">
        <f>T("504 736 2504")</f>
        <v>504 736 2504</v>
      </c>
      <c r="K70" s="1" t="str">
        <f>T("504 736 2836")</f>
        <v>504 736 2836</v>
      </c>
    </row>
    <row r="71" spans="1:11" ht="12.75">
      <c r="A71" s="1" t="s">
        <v>11</v>
      </c>
      <c r="B71" t="str">
        <f>T("HOUMA DISTRICT")</f>
        <v>HOUMA DISTRICT</v>
      </c>
      <c r="C71" t="str">
        <f>T("MMS  3804 COUNTRY DRIVE")</f>
        <v>MMS  3804 COUNTRY DRIVE</v>
      </c>
      <c r="D71" t="str">
        <f>T("MS 5260")</f>
        <v>MS 5260</v>
      </c>
      <c r="E71" t="s">
        <v>10</v>
      </c>
      <c r="F71" t="s">
        <v>10</v>
      </c>
      <c r="G71" t="str">
        <f>T("BOURG")</f>
        <v>BOURG</v>
      </c>
      <c r="H71" t="str">
        <f>T("LA ")</f>
        <v>LA </v>
      </c>
      <c r="I71" s="1" t="str">
        <f>T("70343 3600")</f>
        <v>70343 3600</v>
      </c>
      <c r="J71" s="1" t="str">
        <f>T("985 853 5885")</f>
        <v>985 853 5885</v>
      </c>
      <c r="K71" s="1" t="str">
        <f>T("985 879 2738")</f>
        <v>985 879 2738</v>
      </c>
    </row>
    <row r="72" spans="1:11" ht="12.75">
      <c r="A72" s="1" t="s">
        <v>11</v>
      </c>
      <c r="B72" t="str">
        <f>T("LAKE CHARLES DISTRICT")</f>
        <v>LAKE CHARLES DISTRICT</v>
      </c>
      <c r="C72" t="str">
        <f>T("MMS  620 ESPLANADE STREET  SUITE 200")</f>
        <v>MMS  620 ESPLANADE STREET  SUITE 200</v>
      </c>
      <c r="D72" t="str">
        <f>T("MS 5271")</f>
        <v>MS 5271</v>
      </c>
      <c r="E72" t="s">
        <v>10</v>
      </c>
      <c r="F72" t="s">
        <v>10</v>
      </c>
      <c r="G72" t="str">
        <f>T("LAKE CHARLES")</f>
        <v>LAKE CHARLES</v>
      </c>
      <c r="H72" t="str">
        <f>T("LA ")</f>
        <v>LA </v>
      </c>
      <c r="I72" s="1" t="str">
        <f>T("70607 2984")</f>
        <v>70607 2984</v>
      </c>
      <c r="J72" s="1" t="str">
        <f>T("337 480 4601")</f>
        <v>337 480 4601</v>
      </c>
      <c r="K72" s="1" t="str">
        <f>T("337 477 9889")</f>
        <v>337 477 9889</v>
      </c>
    </row>
    <row r="73" spans="1:11" ht="12.75">
      <c r="A73" s="1" t="s">
        <v>11</v>
      </c>
      <c r="B73" t="str">
        <f>T("CAMARILLO DISTRICT OFC")</f>
        <v>CAMARILLO DISTRICT OFC</v>
      </c>
      <c r="C73" t="str">
        <f>T("MMS  770 PASEO CAMARILLO")</f>
        <v>MMS  770 PASEO CAMARILLO</v>
      </c>
      <c r="D73" t="str">
        <f>T("MS 7210")</f>
        <v>MS 7210</v>
      </c>
      <c r="E73" t="s">
        <v>10</v>
      </c>
      <c r="F73" t="s">
        <v>10</v>
      </c>
      <c r="G73" t="str">
        <f>T("CAMARILLO")</f>
        <v>CAMARILLO</v>
      </c>
      <c r="H73" t="str">
        <f>T("CA ")</f>
        <v>CA </v>
      </c>
      <c r="I73" s="1" t="str">
        <f>T("93010 6092")</f>
        <v>93010 6092</v>
      </c>
      <c r="J73" s="1" t="str">
        <f>T("805 389 7782")</f>
        <v>805 389 7782</v>
      </c>
      <c r="K73" s="1" t="str">
        <f>T("805 389 7784")</f>
        <v>805 389 7784</v>
      </c>
    </row>
    <row r="74" spans="1:11" ht="12.75">
      <c r="A74" s="1" t="s">
        <v>11</v>
      </c>
      <c r="B74" t="str">
        <f>T("OPS SAFETY &amp; ENFORCEMENT SEC")</f>
        <v>OPS SAFETY &amp; ENFORCEMENT SEC</v>
      </c>
      <c r="C74" t="str">
        <f>T("MMS  770 PASEO CAMARILLO")</f>
        <v>MMS  770 PASEO CAMARILLO</v>
      </c>
      <c r="D74" t="str">
        <f>T("MS 7260")</f>
        <v>MS 7260</v>
      </c>
      <c r="E74" t="s">
        <v>10</v>
      </c>
      <c r="F74" t="s">
        <v>10</v>
      </c>
      <c r="G74" t="str">
        <f>T("CAMARILLO")</f>
        <v>CAMARILLO</v>
      </c>
      <c r="H74" t="str">
        <f>T("CA ")</f>
        <v>CA </v>
      </c>
      <c r="I74" s="1" t="str">
        <f>T("93010 6092")</f>
        <v>93010 6092</v>
      </c>
      <c r="J74" s="1" t="str">
        <f>T("805 389 7561")</f>
        <v>805 389 7561</v>
      </c>
      <c r="K74" s="1" t="str">
        <f>T("805 389 7505")</f>
        <v>805 389 7505</v>
      </c>
    </row>
    <row r="75" spans="1:11" ht="12.75">
      <c r="A75" s="1" t="s">
        <v>11</v>
      </c>
      <c r="B75" t="str">
        <f>T("ENVMTL ANALYSIS SECTION")</f>
        <v>ENVMTL ANALYSIS SECTION</v>
      </c>
      <c r="C75" t="str">
        <f>T("MMS  770 PASEO CAMARILLO")</f>
        <v>MMS  770 PASEO CAMARILLO</v>
      </c>
      <c r="D75" t="str">
        <f>T("MS 7306")</f>
        <v>MS 7306</v>
      </c>
      <c r="E75" t="s">
        <v>10</v>
      </c>
      <c r="F75" t="s">
        <v>10</v>
      </c>
      <c r="G75" t="str">
        <f>T("CAMARILLO")</f>
        <v>CAMARILLO</v>
      </c>
      <c r="H75" t="str">
        <f>T("CA ")</f>
        <v>CA </v>
      </c>
      <c r="I75" s="1" t="str">
        <f>T("93010 6092")</f>
        <v>93010 6092</v>
      </c>
      <c r="J75" s="1" t="str">
        <f>T("805 389 7822")</f>
        <v>805 389 7822</v>
      </c>
      <c r="K75" s="1" t="str">
        <f>T("805 389 7500")</f>
        <v>805 389 7500</v>
      </c>
    </row>
    <row r="76" spans="1:11" ht="12.75">
      <c r="A76" s="1" t="s">
        <v>11</v>
      </c>
      <c r="B76" t="str">
        <f>T("ENVMTL STUDIES SECTION")</f>
        <v>ENVMTL STUDIES SECTION</v>
      </c>
      <c r="C76" t="str">
        <f>T("MMS  949 E. 36TH AVENUE")</f>
        <v>MMS  949 E. 36TH AVENUE</v>
      </c>
      <c r="D76" t="str">
        <f>T("ROOM 308  MS 8301")</f>
        <v>ROOM 308  MS 8301</v>
      </c>
      <c r="E76" t="str">
        <f>T("MS 8301")</f>
        <v>MS 8301</v>
      </c>
      <c r="F76" t="s">
        <v>10</v>
      </c>
      <c r="G76" t="str">
        <f>T("ANCHORAGE")</f>
        <v>ANCHORAGE</v>
      </c>
      <c r="H76" t="str">
        <f>T("AK")</f>
        <v>AK</v>
      </c>
      <c r="I76" s="1" t="str">
        <f>T("99508 4363")</f>
        <v>99508 4363</v>
      </c>
      <c r="J76" s="1" t="str">
        <f>T("907 271 6617")</f>
        <v>907 271 6617</v>
      </c>
      <c r="K76" s="1" t="str">
        <f>T("907 271 6805")</f>
        <v>907 271 6805</v>
      </c>
    </row>
    <row r="77" spans="1:11" ht="12.75">
      <c r="A77" s="1" t="s">
        <v>11</v>
      </c>
      <c r="B77" t="str">
        <f>T("ENVMTL ASSESSMENT SEC")</f>
        <v>ENVMTL ASSESSMENT SEC</v>
      </c>
      <c r="C77" t="str">
        <f>T("MMS  949 E. 36TH AVENUE")</f>
        <v>MMS  949 E. 36TH AVENUE</v>
      </c>
      <c r="D77" t="str">
        <f>T("ROOM 308  MS 8303")</f>
        <v>ROOM 308  MS 8303</v>
      </c>
      <c r="E77" t="str">
        <f>T("MS 8303")</f>
        <v>MS 8303</v>
      </c>
      <c r="F77" t="s">
        <v>10</v>
      </c>
      <c r="G77" t="str">
        <f>T("ANCHORAGE")</f>
        <v>ANCHORAGE</v>
      </c>
      <c r="H77" t="str">
        <f>T("AK")</f>
        <v>AK</v>
      </c>
      <c r="I77" s="1" t="str">
        <f>T("99508 4363")</f>
        <v>99508 4363</v>
      </c>
      <c r="J77" s="1" t="str">
        <f>T("907 271 6637")</f>
        <v>907 271 6637</v>
      </c>
      <c r="K77" s="1" t="str">
        <f>T("907 271 6805")</f>
        <v>907 271 6805</v>
      </c>
    </row>
    <row r="78" spans="1:11" ht="12.75">
      <c r="A78" s="1" t="s">
        <v>11</v>
      </c>
      <c r="B78" t="str">
        <f>T("RATE CONTROL UNIT")</f>
        <v>RATE CONTROL UNIT</v>
      </c>
      <c r="C78" t="str">
        <f>T("MMS  1201 ELMWOOD PARK BOULEVARD")</f>
        <v>MMS  1201 ELMWOOD PARK BOULEVARD</v>
      </c>
      <c r="D78" t="str">
        <f>T("MS 5331")</f>
        <v>MS 5331</v>
      </c>
      <c r="E78" t="s">
        <v>10</v>
      </c>
      <c r="F78" t="s">
        <v>10</v>
      </c>
      <c r="G78" t="str">
        <f>T("NEW ORLEANS")</f>
        <v>NEW ORLEANS</v>
      </c>
      <c r="H78" t="str">
        <f>T("LA ")</f>
        <v>LA </v>
      </c>
      <c r="I78" s="1" t="str">
        <f>T("70123 2394")</f>
        <v>70123 2394</v>
      </c>
      <c r="J78" s="1" t="str">
        <f>T("504 736 2662")</f>
        <v>504 736 2662</v>
      </c>
      <c r="K78" s="1" t="str">
        <f>T("504 736 1738")</f>
        <v>504 736 1738</v>
      </c>
    </row>
    <row r="79" spans="1:11" ht="12.75">
      <c r="A79" s="1" t="s">
        <v>11</v>
      </c>
      <c r="B79" t="str">
        <f>T("PRODUCTION VERIFICATION UNIT")</f>
        <v>PRODUCTION VERIFICATION UNIT</v>
      </c>
      <c r="C79" t="str">
        <f>T("MMS  1201 ELMWOOD PARK BOULEVARD")</f>
        <v>MMS  1201 ELMWOOD PARK BOULEVARD</v>
      </c>
      <c r="D79" t="str">
        <f>T("MS 5312")</f>
        <v>MS 5312</v>
      </c>
      <c r="E79" t="s">
        <v>10</v>
      </c>
      <c r="F79" t="s">
        <v>10</v>
      </c>
      <c r="G79" t="str">
        <f>T("NEW ORLEANS")</f>
        <v>NEW ORLEANS</v>
      </c>
      <c r="H79" t="str">
        <f>T("LA ")</f>
        <v>LA </v>
      </c>
      <c r="I79" s="1" t="str">
        <f>T("70123 2394")</f>
        <v>70123 2394</v>
      </c>
      <c r="J79" s="1" t="str">
        <f>T("504 736 2498")</f>
        <v>504 736 2498</v>
      </c>
      <c r="K79" s="1" t="str">
        <f>T("504 736 2553")</f>
        <v>504 736 2553</v>
      </c>
    </row>
    <row r="80" spans="1:11" ht="12.75">
      <c r="A80" s="1" t="s">
        <v>11</v>
      </c>
      <c r="B80" t="str">
        <f>T("CHIEF OF STAFF MRM")</f>
        <v>CHIEF OF STAFF MRM</v>
      </c>
      <c r="C80" t="str">
        <f aca="true" t="shared" si="16" ref="C80:C99">T("MMS PO BOX 25165")</f>
        <v>MMS PO BOX 25165</v>
      </c>
      <c r="D80" t="str">
        <f>T("MS 302B2")</f>
        <v>MS 302B2</v>
      </c>
      <c r="E80" t="s">
        <v>10</v>
      </c>
      <c r="F80" t="s">
        <v>10</v>
      </c>
      <c r="G80" t="str">
        <f>T("DENVER")</f>
        <v>DENVER</v>
      </c>
      <c r="H80" t="str">
        <f aca="true" t="shared" si="17" ref="H80:H99">T("CO ")</f>
        <v>CO </v>
      </c>
      <c r="I80" s="1">
        <f aca="true" t="shared" si="18" ref="I80:I99">N(80225)</f>
        <v>80225</v>
      </c>
      <c r="J80" s="1" t="str">
        <f>T("303 231 3896")</f>
        <v>303 231 3896</v>
      </c>
      <c r="K80" s="1" t="str">
        <f>T("303 231 3374")</f>
        <v>303 231 3374</v>
      </c>
    </row>
    <row r="81" spans="1:11" ht="12.75">
      <c r="A81" s="1" t="s">
        <v>11</v>
      </c>
      <c r="B81" t="str">
        <f>T("BUDGET AND BUSINESS")</f>
        <v>BUDGET AND BUSINESS</v>
      </c>
      <c r="C81" t="str">
        <f t="shared" si="16"/>
        <v>MMS PO BOX 25165</v>
      </c>
      <c r="D81" t="str">
        <f>T("MS 302B2")</f>
        <v>MS 302B2</v>
      </c>
      <c r="E81" t="s">
        <v>10</v>
      </c>
      <c r="F81" t="s">
        <v>10</v>
      </c>
      <c r="G81" t="str">
        <f>T("DENVER")</f>
        <v>DENVER</v>
      </c>
      <c r="H81" t="str">
        <f t="shared" si="17"/>
        <v>CO </v>
      </c>
      <c r="I81" s="1">
        <f t="shared" si="18"/>
        <v>80225</v>
      </c>
      <c r="J81" s="1" t="str">
        <f>T("303 231 3896")</f>
        <v>303 231 3896</v>
      </c>
      <c r="K81" s="1" t="str">
        <f>T("303 231 3374")</f>
        <v>303 231 3374</v>
      </c>
    </row>
    <row r="82" spans="1:11" ht="12.75">
      <c r="A82" s="1" t="s">
        <v>11</v>
      </c>
      <c r="B82" t="str">
        <f>T("ROYALTY IN KIND")</f>
        <v>ROYALTY IN KIND</v>
      </c>
      <c r="C82" t="str">
        <f t="shared" si="16"/>
        <v>MMS PO BOX 25165</v>
      </c>
      <c r="D82" t="str">
        <f>T("MS 330B2")</f>
        <v>MS 330B2</v>
      </c>
      <c r="E82" t="s">
        <v>10</v>
      </c>
      <c r="F82" t="s">
        <v>10</v>
      </c>
      <c r="G82" t="str">
        <f>T("DENVER")</f>
        <v>DENVER</v>
      </c>
      <c r="H82" t="str">
        <f t="shared" si="17"/>
        <v>CO </v>
      </c>
      <c r="I82" s="1">
        <f t="shared" si="18"/>
        <v>80225</v>
      </c>
      <c r="J82" s="1" t="str">
        <f>T("303 231 3838")</f>
        <v>303 231 3838</v>
      </c>
      <c r="K82" s="1" t="str">
        <f>T("303 231 3846")</f>
        <v>303 231 3846</v>
      </c>
    </row>
    <row r="83" spans="1:11" ht="12.75">
      <c r="A83" s="1" t="s">
        <v>11</v>
      </c>
      <c r="B83" t="str">
        <f>T("INFO TECHNOLOGY CTR")</f>
        <v>INFO TECHNOLOGY CTR</v>
      </c>
      <c r="C83" t="str">
        <f t="shared" si="16"/>
        <v>MMS PO BOX 25165</v>
      </c>
      <c r="D83" t="str">
        <f>T("MS 340G4")</f>
        <v>MS 340G4</v>
      </c>
      <c r="E83" t="s">
        <v>10</v>
      </c>
      <c r="F83" t="s">
        <v>10</v>
      </c>
      <c r="G83" t="str">
        <f>T("DEVER")</f>
        <v>DEVER</v>
      </c>
      <c r="H83" t="str">
        <f t="shared" si="17"/>
        <v>CO </v>
      </c>
      <c r="I83" s="1">
        <f t="shared" si="18"/>
        <v>80225</v>
      </c>
      <c r="J83" s="1" t="str">
        <f>T("303 275 7001")</f>
        <v>303 275 7001</v>
      </c>
      <c r="K83" s="1" t="str">
        <f>T("303 275 7099")</f>
        <v>303 275 7099</v>
      </c>
    </row>
    <row r="84" spans="1:11" ht="12.75">
      <c r="A84" s="1" t="s">
        <v>11</v>
      </c>
      <c r="B84" t="str">
        <f>T("CONTRACTS AND RESOURCE")</f>
        <v>CONTRACTS AND RESOURCE</v>
      </c>
      <c r="C84" t="str">
        <f t="shared" si="16"/>
        <v>MMS PO BOX 25165</v>
      </c>
      <c r="D84" t="str">
        <f>T("MS 340G4")</f>
        <v>MS 340G4</v>
      </c>
      <c r="E84" t="s">
        <v>10</v>
      </c>
      <c r="F84" t="s">
        <v>10</v>
      </c>
      <c r="G84" t="str">
        <f aca="true" t="shared" si="19" ref="G84:G99">T("DENVER")</f>
        <v>DENVER</v>
      </c>
      <c r="H84" t="str">
        <f t="shared" si="17"/>
        <v>CO </v>
      </c>
      <c r="I84" s="1">
        <f t="shared" si="18"/>
        <v>80225</v>
      </c>
      <c r="J84" s="1" t="str">
        <f>T("303 275 7001")</f>
        <v>303 275 7001</v>
      </c>
      <c r="K84" s="1" t="str">
        <f>T("303 275 7099")</f>
        <v>303 275 7099</v>
      </c>
    </row>
    <row r="85" spans="1:11" ht="12.75">
      <c r="A85" s="1" t="s">
        <v>11</v>
      </c>
      <c r="B85" t="str">
        <f>T("CUSTOMER SERVICE")</f>
        <v>CUSTOMER SERVICE</v>
      </c>
      <c r="C85" t="str">
        <f t="shared" si="16"/>
        <v>MMS PO BOX 25165</v>
      </c>
      <c r="D85" t="str">
        <f>T("MS 3240G4")</f>
        <v>MS 3240G4</v>
      </c>
      <c r="E85" t="s">
        <v>10</v>
      </c>
      <c r="F85" t="s">
        <v>10</v>
      </c>
      <c r="G85" t="str">
        <f t="shared" si="19"/>
        <v>DENVER</v>
      </c>
      <c r="H85" t="str">
        <f t="shared" si="17"/>
        <v>CO </v>
      </c>
      <c r="I85" s="1">
        <f t="shared" si="18"/>
        <v>80225</v>
      </c>
      <c r="J85" s="1" t="str">
        <f>T("303 275 7001")</f>
        <v>303 275 7001</v>
      </c>
      <c r="K85" s="1" t="str">
        <f>T("303 275 7099")</f>
        <v>303 275 7099</v>
      </c>
    </row>
    <row r="86" spans="1:11" ht="12.75">
      <c r="A86" s="1" t="s">
        <v>11</v>
      </c>
      <c r="B86" t="str">
        <f>T("FINANCIAL MGMT")</f>
        <v>FINANCIAL MGMT</v>
      </c>
      <c r="C86" t="str">
        <f t="shared" si="16"/>
        <v>MMS PO BOX 25165</v>
      </c>
      <c r="D86" t="str">
        <f>T("MS 350B1")</f>
        <v>MS 350B1</v>
      </c>
      <c r="E86" t="s">
        <v>10</v>
      </c>
      <c r="F86" t="s">
        <v>10</v>
      </c>
      <c r="G86" t="str">
        <f t="shared" si="19"/>
        <v>DENVER</v>
      </c>
      <c r="H86" t="str">
        <f t="shared" si="17"/>
        <v>CO </v>
      </c>
      <c r="I86" s="1">
        <f t="shared" si="18"/>
        <v>80225</v>
      </c>
      <c r="J86" s="1" t="str">
        <f>T("303 231 3429")</f>
        <v>303 231 3429</v>
      </c>
      <c r="K86" s="1" t="str">
        <f>T("303 445 9501")</f>
        <v>303 445 9501</v>
      </c>
    </row>
    <row r="87" spans="1:11" ht="12.75">
      <c r="A87" s="1" t="s">
        <v>11</v>
      </c>
      <c r="B87" t="str">
        <f>T("FINANCIAL SERVICES")</f>
        <v>FINANCIAL SERVICES</v>
      </c>
      <c r="C87" t="str">
        <f t="shared" si="16"/>
        <v>MMS PO BOX 25165</v>
      </c>
      <c r="D87" t="str">
        <f>T("MS 353B1")</f>
        <v>MS 353B1</v>
      </c>
      <c r="E87" t="s">
        <v>10</v>
      </c>
      <c r="F87" t="s">
        <v>10</v>
      </c>
      <c r="G87" t="str">
        <f t="shared" si="19"/>
        <v>DENVER</v>
      </c>
      <c r="H87" t="str">
        <f t="shared" si="17"/>
        <v>CO </v>
      </c>
      <c r="I87" s="1">
        <f t="shared" si="18"/>
        <v>80225</v>
      </c>
      <c r="J87" s="1" t="str">
        <f>T("303 231 3422")</f>
        <v>303 231 3422</v>
      </c>
      <c r="K87" s="1" t="str">
        <f>T("303 231 3372")</f>
        <v>303 231 3372</v>
      </c>
    </row>
    <row r="88" spans="1:11" ht="12.75">
      <c r="A88" s="1" t="s">
        <v>11</v>
      </c>
      <c r="B88" t="str">
        <f>T("OFFICE OF ENFORCEMENT")</f>
        <v>OFFICE OF ENFORCEMENT</v>
      </c>
      <c r="C88" t="str">
        <f t="shared" si="16"/>
        <v>MMS PO BOX 25165</v>
      </c>
      <c r="D88" t="str">
        <f>T("MS 370B2")</f>
        <v>MS 370B2</v>
      </c>
      <c r="E88" t="s">
        <v>10</v>
      </c>
      <c r="F88" t="s">
        <v>10</v>
      </c>
      <c r="G88" t="str">
        <f t="shared" si="19"/>
        <v>DENVER</v>
      </c>
      <c r="H88" t="str">
        <f t="shared" si="17"/>
        <v>CO </v>
      </c>
      <c r="I88" s="1">
        <f t="shared" si="18"/>
        <v>80225</v>
      </c>
      <c r="J88" s="1" t="str">
        <f>T("303 231 3737")</f>
        <v>303 231 3737</v>
      </c>
      <c r="K88" s="1" t="str">
        <f>T("303 231 3362")</f>
        <v>303 231 3362</v>
      </c>
    </row>
    <row r="89" spans="1:11" ht="12.75">
      <c r="A89" s="1" t="s">
        <v>11</v>
      </c>
      <c r="B89" t="str">
        <f>T("OFFSHORE CAM 1")</f>
        <v>OFFSHORE CAM 1</v>
      </c>
      <c r="C89" t="str">
        <f t="shared" si="16"/>
        <v>MMS PO BOX 25165</v>
      </c>
      <c r="D89" t="str">
        <f>T("MS 382B2")</f>
        <v>MS 382B2</v>
      </c>
      <c r="E89" t="s">
        <v>10</v>
      </c>
      <c r="F89" t="s">
        <v>10</v>
      </c>
      <c r="G89" t="str">
        <f t="shared" si="19"/>
        <v>DENVER</v>
      </c>
      <c r="H89" t="str">
        <f t="shared" si="17"/>
        <v>CO </v>
      </c>
      <c r="I89" s="1">
        <f t="shared" si="18"/>
        <v>80225</v>
      </c>
      <c r="J89" s="1" t="str">
        <f>T("303 231 3404")</f>
        <v>303 231 3404</v>
      </c>
      <c r="K89" s="1" t="str">
        <f>T("303 231 3473")</f>
        <v>303 231 3473</v>
      </c>
    </row>
    <row r="90" spans="1:11" ht="12.75">
      <c r="A90" s="1" t="s">
        <v>11</v>
      </c>
      <c r="B90" t="str">
        <f>T("OFFSHORE CAM 1 TEAM 2")</f>
        <v>OFFSHORE CAM 1 TEAM 2</v>
      </c>
      <c r="C90" t="str">
        <f t="shared" si="16"/>
        <v>MMS PO BOX 25165</v>
      </c>
      <c r="D90" t="str">
        <f>T("MS 382T1")</f>
        <v>MS 382T1</v>
      </c>
      <c r="E90" t="s">
        <v>10</v>
      </c>
      <c r="F90" t="s">
        <v>10</v>
      </c>
      <c r="G90" t="str">
        <f t="shared" si="19"/>
        <v>DENVER</v>
      </c>
      <c r="H90" t="str">
        <f t="shared" si="17"/>
        <v>CO </v>
      </c>
      <c r="I90" s="1">
        <f t="shared" si="18"/>
        <v>80225</v>
      </c>
      <c r="J90" s="1" t="str">
        <f>T("918 581 6453")</f>
        <v>918 581 6453</v>
      </c>
      <c r="K90" s="1" t="str">
        <f>T("918 581 7098")</f>
        <v>918 581 7098</v>
      </c>
    </row>
    <row r="91" spans="1:11" ht="12.75">
      <c r="A91" s="1" t="s">
        <v>11</v>
      </c>
      <c r="B91" t="str">
        <f>T("OFFSHORE CAM 1 TEAM 3")</f>
        <v>OFFSHORE CAM 1 TEAM 3</v>
      </c>
      <c r="C91" t="str">
        <f t="shared" si="16"/>
        <v>MMS PO BOX 25165</v>
      </c>
      <c r="D91" t="str">
        <f>T("MS 382T2")</f>
        <v>MS 382T2</v>
      </c>
      <c r="E91" t="s">
        <v>10</v>
      </c>
      <c r="F91" t="s">
        <v>10</v>
      </c>
      <c r="G91" t="str">
        <f t="shared" si="19"/>
        <v>DENVER</v>
      </c>
      <c r="H91" t="str">
        <f t="shared" si="17"/>
        <v>CO </v>
      </c>
      <c r="I91" s="1">
        <f t="shared" si="18"/>
        <v>80225</v>
      </c>
      <c r="J91" s="1" t="str">
        <f>T("918 581 6413")</f>
        <v>918 581 6413</v>
      </c>
      <c r="K91" s="1" t="str">
        <f>T("918 581 7098")</f>
        <v>918 581 7098</v>
      </c>
    </row>
    <row r="92" spans="1:11" ht="12.75">
      <c r="A92" s="1" t="s">
        <v>11</v>
      </c>
      <c r="B92" t="str">
        <f>T("OFFSHORE CAM 2")</f>
        <v>OFFSHORE CAM 2</v>
      </c>
      <c r="C92" t="str">
        <f t="shared" si="16"/>
        <v>MMS PO BOX 25165</v>
      </c>
      <c r="D92" t="str">
        <f>T("MS 386H1")</f>
        <v>MS 386H1</v>
      </c>
      <c r="E92" t="s">
        <v>10</v>
      </c>
      <c r="F92" t="s">
        <v>10</v>
      </c>
      <c r="G92" t="str">
        <f t="shared" si="19"/>
        <v>DENVER</v>
      </c>
      <c r="H92" t="str">
        <f t="shared" si="17"/>
        <v>CO </v>
      </c>
      <c r="I92" s="1">
        <f t="shared" si="18"/>
        <v>80225</v>
      </c>
      <c r="J92" s="1" t="str">
        <f>T("281 987 6800")</f>
        <v>281 987 6800</v>
      </c>
      <c r="K92" s="1" t="str">
        <f>T("281 987 6804")</f>
        <v>281 987 6804</v>
      </c>
    </row>
    <row r="93" spans="1:11" ht="12.75">
      <c r="A93" s="1" t="s">
        <v>11</v>
      </c>
      <c r="B93" t="str">
        <f>T("OFFSHORE CAM 2 TEAM 3")</f>
        <v>OFFSHORE CAM 2 TEAM 3</v>
      </c>
      <c r="C93" t="str">
        <f t="shared" si="16"/>
        <v>MMS PO BOX 25165</v>
      </c>
      <c r="D93" t="str">
        <f>T("MS 386H1")</f>
        <v>MS 386H1</v>
      </c>
      <c r="E93" t="s">
        <v>10</v>
      </c>
      <c r="F93" t="s">
        <v>10</v>
      </c>
      <c r="G93" t="str">
        <f t="shared" si="19"/>
        <v>DENVER</v>
      </c>
      <c r="H93" t="str">
        <f t="shared" si="17"/>
        <v>CO </v>
      </c>
      <c r="I93" s="1">
        <f t="shared" si="18"/>
        <v>80225</v>
      </c>
      <c r="J93" s="1" t="str">
        <f>T("281 987 6800")</f>
        <v>281 987 6800</v>
      </c>
      <c r="K93" s="1" t="str">
        <f>T("281 987 6804")</f>
        <v>281 987 6804</v>
      </c>
    </row>
    <row r="94" spans="1:11" ht="12.75">
      <c r="A94" s="1" t="s">
        <v>11</v>
      </c>
      <c r="B94" t="str">
        <f>T("ONSHORE CAM")</f>
        <v>ONSHORE CAM</v>
      </c>
      <c r="C94" t="str">
        <f t="shared" si="16"/>
        <v>MMS PO BOX 25165</v>
      </c>
      <c r="D94" t="str">
        <f>T("MS 390B2")</f>
        <v>MS 390B2</v>
      </c>
      <c r="E94" t="s">
        <v>10</v>
      </c>
      <c r="F94" t="s">
        <v>10</v>
      </c>
      <c r="G94" t="str">
        <f t="shared" si="19"/>
        <v>DENVER</v>
      </c>
      <c r="H94" t="str">
        <f t="shared" si="17"/>
        <v>CO </v>
      </c>
      <c r="I94" s="1">
        <f t="shared" si="18"/>
        <v>80225</v>
      </c>
      <c r="J94" s="1" t="str">
        <f>T("303 275 7201")</f>
        <v>303 275 7201</v>
      </c>
      <c r="K94" s="1" t="str">
        <f>T("303 275 7227")</f>
        <v>303 275 7227</v>
      </c>
    </row>
    <row r="95" spans="1:11" ht="12.75">
      <c r="A95" s="1" t="s">
        <v>11</v>
      </c>
      <c r="B95" t="str">
        <f>T("SOLIDS AND GEOTHERM CAM")</f>
        <v>SOLIDS AND GEOTHERM CAM</v>
      </c>
      <c r="C95" t="str">
        <f t="shared" si="16"/>
        <v>MMS PO BOX 25165</v>
      </c>
      <c r="D95" t="str">
        <f>T("MS 390B2")</f>
        <v>MS 390B2</v>
      </c>
      <c r="E95" t="s">
        <v>10</v>
      </c>
      <c r="F95" t="s">
        <v>10</v>
      </c>
      <c r="G95" t="str">
        <f t="shared" si="19"/>
        <v>DENVER</v>
      </c>
      <c r="H95" t="str">
        <f t="shared" si="17"/>
        <v>CO </v>
      </c>
      <c r="I95" s="1">
        <f t="shared" si="18"/>
        <v>80225</v>
      </c>
      <c r="J95" s="1" t="str">
        <f>T("303 275 7201")</f>
        <v>303 275 7201</v>
      </c>
      <c r="K95" s="1" t="str">
        <f>T("303 275 7227")</f>
        <v>303 275 7227</v>
      </c>
    </row>
    <row r="96" spans="1:11" ht="12.75">
      <c r="A96" s="1" t="s">
        <v>11</v>
      </c>
      <c r="B96" t="str">
        <f>T("FED ONSHORE CAM 2")</f>
        <v>FED ONSHORE CAM 2</v>
      </c>
      <c r="C96" t="str">
        <f t="shared" si="16"/>
        <v>MMS PO BOX 25165</v>
      </c>
      <c r="D96" t="str">
        <f>T("MS 390B2")</f>
        <v>MS 390B2</v>
      </c>
      <c r="E96" t="s">
        <v>10</v>
      </c>
      <c r="F96" t="s">
        <v>10</v>
      </c>
      <c r="G96" t="str">
        <f t="shared" si="19"/>
        <v>DENVER</v>
      </c>
      <c r="H96" t="str">
        <f t="shared" si="17"/>
        <v>CO </v>
      </c>
      <c r="I96" s="1">
        <f t="shared" si="18"/>
        <v>80225</v>
      </c>
      <c r="J96" s="1" t="str">
        <f>T("303 275 7201")</f>
        <v>303 275 7201</v>
      </c>
      <c r="K96" s="1" t="str">
        <f>T("303 275 7227")</f>
        <v>303 275 7227</v>
      </c>
    </row>
    <row r="97" spans="1:11" ht="12.75">
      <c r="A97" s="1" t="s">
        <v>11</v>
      </c>
      <c r="B97" t="str">
        <f>T("FED ONSHORE CAM 3")</f>
        <v>FED ONSHORE CAM 3</v>
      </c>
      <c r="C97" t="str">
        <f t="shared" si="16"/>
        <v>MMS PO BOX 25165</v>
      </c>
      <c r="D97" t="str">
        <f>T("MS 390B2")</f>
        <v>MS 390B2</v>
      </c>
      <c r="E97" t="s">
        <v>10</v>
      </c>
      <c r="F97" t="s">
        <v>10</v>
      </c>
      <c r="G97" t="str">
        <f t="shared" si="19"/>
        <v>DENVER</v>
      </c>
      <c r="H97" t="str">
        <f t="shared" si="17"/>
        <v>CO </v>
      </c>
      <c r="I97" s="1">
        <f t="shared" si="18"/>
        <v>80225</v>
      </c>
      <c r="J97" s="1" t="str">
        <f>T("303 275 7201")</f>
        <v>303 275 7201</v>
      </c>
      <c r="K97" s="1" t="str">
        <f>T("303 275 7227")</f>
        <v>303 275 7227</v>
      </c>
    </row>
    <row r="98" spans="1:11" ht="12.75">
      <c r="A98" s="1" t="s">
        <v>11</v>
      </c>
      <c r="B98" t="str">
        <f>T("INDIAN OIL AND GAS CAM")</f>
        <v>INDIAN OIL AND GAS CAM</v>
      </c>
      <c r="C98" t="str">
        <f t="shared" si="16"/>
        <v>MMS PO BOX 25165</v>
      </c>
      <c r="D98" t="str">
        <f>T("MS 396B2")</f>
        <v>MS 396B2</v>
      </c>
      <c r="E98" t="s">
        <v>10</v>
      </c>
      <c r="F98" t="s">
        <v>10</v>
      </c>
      <c r="G98" t="str">
        <f t="shared" si="19"/>
        <v>DENVER</v>
      </c>
      <c r="H98" t="str">
        <f t="shared" si="17"/>
        <v>CO </v>
      </c>
      <c r="I98" s="1">
        <f t="shared" si="18"/>
        <v>80225</v>
      </c>
      <c r="J98" s="1" t="str">
        <f>T("303 275 7290")</f>
        <v>303 275 7290</v>
      </c>
      <c r="K98" s="1" t="str">
        <f>T("303 275 7470")</f>
        <v>303 275 7470</v>
      </c>
    </row>
    <row r="99" spans="1:11" ht="12.75">
      <c r="A99" s="1" t="s">
        <v>11</v>
      </c>
      <c r="B99" t="str">
        <f>T("INDIAN CAM 1")</f>
        <v>INDIAN CAM 1</v>
      </c>
      <c r="C99" t="str">
        <f t="shared" si="16"/>
        <v>MMS PO BOX 25165</v>
      </c>
      <c r="D99" t="str">
        <f>T("MS 396B2")</f>
        <v>MS 396B2</v>
      </c>
      <c r="E99" t="s">
        <v>10</v>
      </c>
      <c r="F99" t="s">
        <v>10</v>
      </c>
      <c r="G99" t="str">
        <f t="shared" si="19"/>
        <v>DENVER</v>
      </c>
      <c r="H99" t="str">
        <f t="shared" si="17"/>
        <v>CO </v>
      </c>
      <c r="I99" s="1">
        <f t="shared" si="18"/>
        <v>80225</v>
      </c>
      <c r="J99" s="1" t="str">
        <f>T("303 275 7390")</f>
        <v>303 275 7390</v>
      </c>
      <c r="K99" s="1" t="str">
        <f>T("303 275 7470")</f>
        <v>303 275 7470</v>
      </c>
    </row>
    <row r="100" spans="1:11" ht="12.75">
      <c r="A100" s="1" t="s">
        <v>11</v>
      </c>
      <c r="B100" t="str">
        <f>T("GOVWORKS DIRECTORATE")</f>
        <v>GOVWORKS DIRECTORATE</v>
      </c>
      <c r="C100" t="str">
        <f>T("381 ELDEN ST MS 2500")</f>
        <v>381 ELDEN ST MS 2500</v>
      </c>
      <c r="D100" t="s">
        <v>10</v>
      </c>
      <c r="E100" t="s">
        <v>10</v>
      </c>
      <c r="F100" t="s">
        <v>10</v>
      </c>
      <c r="G100" t="str">
        <f>T("HERNDON")</f>
        <v>HERNDON</v>
      </c>
      <c r="H100" t="str">
        <f>T("VA ")</f>
        <v>VA </v>
      </c>
      <c r="I100" s="1">
        <f>N(20170)</f>
        <v>20170</v>
      </c>
      <c r="J100" s="1">
        <f>N(8172927406)</f>
        <v>8172927406</v>
      </c>
      <c r="K100" s="1" t="s">
        <v>10</v>
      </c>
    </row>
    <row r="101" spans="1:11" ht="12.75">
      <c r="A101" s="1" t="s">
        <v>11</v>
      </c>
      <c r="B101" t="str">
        <f>T("CUTOMER RELATIONS DIV")</f>
        <v>CUTOMER RELATIONS DIV</v>
      </c>
      <c r="C101" t="str">
        <f>T("381 ELDEN ST MS 2500")</f>
        <v>381 ELDEN ST MS 2500</v>
      </c>
      <c r="D101" t="s">
        <v>10</v>
      </c>
      <c r="E101" t="s">
        <v>10</v>
      </c>
      <c r="F101" t="s">
        <v>10</v>
      </c>
      <c r="G101" t="str">
        <f>T("HERNDON")</f>
        <v>HERNDON</v>
      </c>
      <c r="H101" t="str">
        <f>T("VA ")</f>
        <v>VA </v>
      </c>
      <c r="I101" s="1">
        <f>N(20170)</f>
        <v>20170</v>
      </c>
      <c r="J101" s="1">
        <f>N(8172927406)</f>
        <v>8172927406</v>
      </c>
      <c r="K101" s="1" t="s">
        <v>10</v>
      </c>
    </row>
    <row r="102" spans="1:11" ht="12.75">
      <c r="A102" s="1" t="s">
        <v>11</v>
      </c>
      <c r="B102" t="str">
        <f>T("CUSTOMER SUPPORT BRANCH")</f>
        <v>CUSTOMER SUPPORT BRANCH</v>
      </c>
      <c r="C102" t="str">
        <f>T("381 ELDEN ST MS 2500")</f>
        <v>381 ELDEN ST MS 2500</v>
      </c>
      <c r="D102" t="s">
        <v>10</v>
      </c>
      <c r="E102" t="s">
        <v>10</v>
      </c>
      <c r="F102" t="s">
        <v>10</v>
      </c>
      <c r="G102" t="str">
        <f>T("HERNDON")</f>
        <v>HERNDON</v>
      </c>
      <c r="H102" t="str">
        <f>T("VA ")</f>
        <v>VA </v>
      </c>
      <c r="I102" s="1">
        <f>N(20170)</f>
        <v>20170</v>
      </c>
      <c r="J102" s="1">
        <f>N(8172927406)</f>
        <v>8172927406</v>
      </c>
      <c r="K102" s="1" t="s">
        <v>10</v>
      </c>
    </row>
    <row r="103" spans="1:11" ht="12.75">
      <c r="A103" s="1" t="s">
        <v>11</v>
      </c>
      <c r="B103" t="str">
        <f>T("POLICY DIV")</f>
        <v>POLICY DIV</v>
      </c>
      <c r="C103" t="str">
        <f>T("381 ELDEN ST MS 2500")</f>
        <v>381 ELDEN ST MS 2500</v>
      </c>
      <c r="D103" t="s">
        <v>10</v>
      </c>
      <c r="E103" t="s">
        <v>10</v>
      </c>
      <c r="F103" t="s">
        <v>10</v>
      </c>
      <c r="G103" t="str">
        <f>T("HERNDON")</f>
        <v>HERNDON</v>
      </c>
      <c r="H103" t="str">
        <f>T("VA ")</f>
        <v>VA </v>
      </c>
      <c r="I103" s="1">
        <f>N(20170)</f>
        <v>20170</v>
      </c>
      <c r="J103" s="1">
        <f>N(8172927406)</f>
        <v>8172927406</v>
      </c>
      <c r="K103" s="1" t="s">
        <v>10</v>
      </c>
    </row>
    <row r="104" spans="1:11" ht="12.75">
      <c r="A104" s="1" t="s">
        <v>11</v>
      </c>
      <c r="B104" t="str">
        <f>T("ACQ MGT 1 BRANCH 1 TEAM 1")</f>
        <v>ACQ MGT 1 BRANCH 1 TEAM 1</v>
      </c>
      <c r="C104" t="str">
        <f>T("381 ELDEN ST MS 2500")</f>
        <v>381 ELDEN ST MS 2500</v>
      </c>
      <c r="D104" t="s">
        <v>10</v>
      </c>
      <c r="E104" t="s">
        <v>10</v>
      </c>
      <c r="F104" t="s">
        <v>10</v>
      </c>
      <c r="G104" t="str">
        <f>T("HERNDON")</f>
        <v>HERNDON</v>
      </c>
      <c r="H104" t="str">
        <f>T("VA ")</f>
        <v>VA </v>
      </c>
      <c r="I104" s="1">
        <f>N(20170)</f>
        <v>20170</v>
      </c>
      <c r="J104" s="1">
        <f>N(8172927406)</f>
        <v>8172927406</v>
      </c>
      <c r="K104" s="1" t="s">
        <v>10</v>
      </c>
    </row>
    <row r="105" spans="1:11" ht="12.75">
      <c r="A105" s="1" t="s">
        <v>11</v>
      </c>
      <c r="B105" t="str">
        <f>T("RSRCES STUDIES SECT")</f>
        <v>RSRCES STUDIES SECT</v>
      </c>
      <c r="C105" t="str">
        <f>T("MMS  1201 ELMWOOD PARK BLVD")</f>
        <v>MMS  1201 ELMWOOD PARK BLVD</v>
      </c>
      <c r="D105" t="str">
        <f>T("MS 5120")</f>
        <v>MS 5120</v>
      </c>
      <c r="E105" t="s">
        <v>10</v>
      </c>
      <c r="F105" t="s">
        <v>10</v>
      </c>
      <c r="G105" t="str">
        <f>T("NEW ORLEANS")</f>
        <v>NEW ORLEANS</v>
      </c>
      <c r="H105" t="str">
        <f>T("LA ")</f>
        <v>LA </v>
      </c>
      <c r="I105" s="1">
        <f>N(701232394)</f>
        <v>701232394</v>
      </c>
      <c r="J105" s="1">
        <f>N(5047362448)</f>
        <v>5047362448</v>
      </c>
      <c r="K105" s="1">
        <f>N(5047362905)</f>
        <v>5047362905</v>
      </c>
    </row>
    <row r="106" spans="1:11" ht="12.75">
      <c r="A106" s="1" t="s">
        <v>11</v>
      </c>
      <c r="B106" t="str">
        <f>T("SAFETY MANAGEMENT")</f>
        <v>SAFETY MANAGEMENT</v>
      </c>
      <c r="C106" t="str">
        <f>T("MMS  1201 ELMWOOD PARK BLVD")</f>
        <v>MMS  1201 ELMWOOD PARK BLVD</v>
      </c>
      <c r="D106" t="str">
        <f>T("MS 5240")</f>
        <v>MS 5240</v>
      </c>
      <c r="E106" t="s">
        <v>10</v>
      </c>
      <c r="F106" t="s">
        <v>10</v>
      </c>
      <c r="G106" t="str">
        <f>T("NEW ORLEANS")</f>
        <v>NEW ORLEANS</v>
      </c>
      <c r="H106" t="str">
        <f>T("LA ")</f>
        <v>LA </v>
      </c>
      <c r="I106" s="1">
        <f>N(701232394)</f>
        <v>701232394</v>
      </c>
      <c r="J106" s="1">
        <f>N(5045299136)</f>
        <v>5045299136</v>
      </c>
      <c r="K106" s="1">
        <f>N(5047365704)</f>
        <v>5047365704</v>
      </c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2007-04-30T19:03:27Z</dcterms:created>
  <dcterms:modified xsi:type="dcterms:W3CDTF">2007-05-01T18:14:41Z</dcterms:modified>
  <cp:category/>
  <cp:version/>
  <cp:contentType/>
  <cp:contentStatus/>
</cp:coreProperties>
</file>