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<sst xmlns="http://schemas.openxmlformats.org/spreadsheetml/2006/main" count="1869" uniqueCount="13">
  <si>
    <t xml:space="preserve"> </t>
  </si>
  <si>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</si>
  <si>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</si>
  <si>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</si>
  <si>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</si>
  <si>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</si>
  <si>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</si>
  <si>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</si>
  <si>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</si>
  <si>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</si>
  <si>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</si>
  <si>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>BUREAU OF LAND MANAGEMENT</t>
  </si>
  <si>
    <t xml:space="preserve">BUREAU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</si>
</sst>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3.57421875" style="0" customWidth="1"/>
    <col min="2" max="2" width="42.28125" style="0" customWidth="1"/>
    <col min="3" max="3" width="42.00390625" style="0" customWidth="1"/>
    <col min="4" max="4" width="40.00390625" style="0" customWidth="1"/>
    <col min="5" max="5" width="39.140625" style="0" customWidth="1"/>
    <col min="6" max="6" width="27.7109375" style="0" customWidth="1"/>
    <col min="7" max="7" width="20.00390625" style="0" customWidth="1"/>
    <col min="9" max="9" width="13.7109375" style="0" customWidth="1"/>
    <col min="10" max="10" width="15.28125" style="0" customWidth="1"/>
    <col min="11" max="11" width="16.8515625" style="0" customWidth="1"/>
  </cols>
  <sheetData>
    <row r="1" spans="1:11" s="3" customFormat="1" ht="12.75">
      <c r="A1" s="2" t="s">
        <v>12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2" t="s">
        <v>10</v>
      </c>
    </row>
    <row r="2" spans="1:11" ht="12.75">
      <c r="A2" s="1" t="s">
        <v>11</v>
      </c>
      <c r="B2" t="str">
        <f>T("AK020 FAIRBANKS DIST OFF")</f>
        <v>AK020 FAIRBANKS DIST OFF</v>
      </c>
      <c r="C2" t="str">
        <f aca="true" t="shared" si="0" ref="C2:C11">T("6881 ABBOTT LOOP RD")</f>
        <v>6881 ABBOTT LOOP RD</v>
      </c>
      <c r="D2" t="str">
        <f aca="true" t="shared" si="1" ref="D2:D11">T("ATTN: VICKY HAWKINSON")</f>
        <v>ATTN: VICKY HAWKINSON</v>
      </c>
      <c r="E2" t="s">
        <v>0</v>
      </c>
      <c r="F2" t="s">
        <v>0</v>
      </c>
      <c r="G2" t="str">
        <f aca="true" t="shared" si="2" ref="G2:G11">T("ANCHORAGE")</f>
        <v>ANCHORAGE</v>
      </c>
      <c r="H2" t="str">
        <f aca="true" t="shared" si="3" ref="H2:H11">T("AK ")</f>
        <v>AK </v>
      </c>
      <c r="I2" s="1">
        <f aca="true" t="shared" si="4" ref="I2:I11">N(995070259)</f>
        <v>995070259</v>
      </c>
      <c r="J2" s="1">
        <f aca="true" t="shared" si="5" ref="J2:J11">N(9072671323)</f>
        <v>9072671323</v>
      </c>
      <c r="K2" s="1">
        <f aca="true" t="shared" si="6" ref="K2:K11">N(9072671434)</f>
        <v>9072671434</v>
      </c>
    </row>
    <row r="3" spans="1:11" ht="12.75">
      <c r="A3" s="1" t="s">
        <v>11</v>
      </c>
      <c r="B3" t="str">
        <f>T("AK040 ANCHORAGE FIELD OFC")</f>
        <v>AK040 ANCHORAGE FIELD OFC</v>
      </c>
      <c r="C3" t="str">
        <f t="shared" si="0"/>
        <v>6881 ABBOTT LOOP RD</v>
      </c>
      <c r="D3" t="str">
        <f t="shared" si="1"/>
        <v>ATTN: VICKY HAWKINSON</v>
      </c>
      <c r="E3" t="s">
        <v>0</v>
      </c>
      <c r="F3" t="s">
        <v>0</v>
      </c>
      <c r="G3" t="str">
        <f t="shared" si="2"/>
        <v>ANCHORAGE</v>
      </c>
      <c r="H3" t="str">
        <f t="shared" si="3"/>
        <v>AK </v>
      </c>
      <c r="I3" s="1">
        <f t="shared" si="4"/>
        <v>995070259</v>
      </c>
      <c r="J3" s="1">
        <f t="shared" si="5"/>
        <v>9072671323</v>
      </c>
      <c r="K3" s="1">
        <f t="shared" si="6"/>
        <v>9072671434</v>
      </c>
    </row>
    <row r="4" spans="1:11" ht="12.75">
      <c r="A4" s="1" t="s">
        <v>11</v>
      </c>
      <c r="B4" t="str">
        <f>T("AK050 GLENNALLEN FIELD OFC")</f>
        <v>AK050 GLENNALLEN FIELD OFC</v>
      </c>
      <c r="C4" t="str">
        <f t="shared" si="0"/>
        <v>6881 ABBOTT LOOP RD</v>
      </c>
      <c r="D4" t="str">
        <f t="shared" si="1"/>
        <v>ATTN: VICKY HAWKINSON</v>
      </c>
      <c r="E4" t="s">
        <v>0</v>
      </c>
      <c r="F4" t="s">
        <v>0</v>
      </c>
      <c r="G4" t="str">
        <f t="shared" si="2"/>
        <v>ANCHORAGE</v>
      </c>
      <c r="H4" t="str">
        <f t="shared" si="3"/>
        <v>AK </v>
      </c>
      <c r="I4" s="1">
        <f t="shared" si="4"/>
        <v>995070259</v>
      </c>
      <c r="J4" s="1">
        <f t="shared" si="5"/>
        <v>9072671323</v>
      </c>
      <c r="K4" s="1">
        <f t="shared" si="6"/>
        <v>9072671434</v>
      </c>
    </row>
    <row r="5" spans="1:11" ht="12.75">
      <c r="A5" s="1" t="s">
        <v>11</v>
      </c>
      <c r="B5" t="str">
        <f>T("AK310 ALASKA FIRE SVC MGRS OFC")</f>
        <v>AK310 ALASKA FIRE SVC MGRS OFC</v>
      </c>
      <c r="C5" t="str">
        <f t="shared" si="0"/>
        <v>6881 ABBOTT LOOP RD</v>
      </c>
      <c r="D5" t="str">
        <f t="shared" si="1"/>
        <v>ATTN: VICKY HAWKINSON</v>
      </c>
      <c r="E5" t="s">
        <v>0</v>
      </c>
      <c r="F5" t="s">
        <v>0</v>
      </c>
      <c r="G5" t="str">
        <f t="shared" si="2"/>
        <v>ANCHORAGE</v>
      </c>
      <c r="H5" t="str">
        <f t="shared" si="3"/>
        <v>AK </v>
      </c>
      <c r="I5" s="1">
        <f t="shared" si="4"/>
        <v>995070259</v>
      </c>
      <c r="J5" s="1">
        <f t="shared" si="5"/>
        <v>9072671323</v>
      </c>
      <c r="K5" s="1">
        <f t="shared" si="6"/>
        <v>9072671434</v>
      </c>
    </row>
    <row r="6" spans="1:11" ht="12.75">
      <c r="A6" s="1" t="s">
        <v>11</v>
      </c>
      <c r="B6" t="str">
        <f>T("AK910 OFC OF STATE DIRECTOR")</f>
        <v>AK910 OFC OF STATE DIRECTOR</v>
      </c>
      <c r="C6" t="str">
        <f t="shared" si="0"/>
        <v>6881 ABBOTT LOOP RD</v>
      </c>
      <c r="D6" t="str">
        <f t="shared" si="1"/>
        <v>ATTN: VICKY HAWKINSON</v>
      </c>
      <c r="E6" t="s">
        <v>0</v>
      </c>
      <c r="F6" t="s">
        <v>0</v>
      </c>
      <c r="G6" t="str">
        <f t="shared" si="2"/>
        <v>ANCHORAGE</v>
      </c>
      <c r="H6" t="str">
        <f t="shared" si="3"/>
        <v>AK </v>
      </c>
      <c r="I6" s="1">
        <f t="shared" si="4"/>
        <v>995070259</v>
      </c>
      <c r="J6" s="1">
        <f t="shared" si="5"/>
        <v>9072671323</v>
      </c>
      <c r="K6" s="1">
        <f t="shared" si="6"/>
        <v>9072671434</v>
      </c>
    </row>
    <row r="7" spans="1:11" ht="12.75">
      <c r="A7" s="1" t="s">
        <v>11</v>
      </c>
      <c r="B7" t="str">
        <f>T("AK920 DIV OF CADASTRAL SRVY/GM")</f>
        <v>AK920 DIV OF CADASTRAL SRVY/GM</v>
      </c>
      <c r="C7" t="str">
        <f t="shared" si="0"/>
        <v>6881 ABBOTT LOOP RD</v>
      </c>
      <c r="D7" t="str">
        <f t="shared" si="1"/>
        <v>ATTN: VICKY HAWKINSON</v>
      </c>
      <c r="E7" t="s">
        <v>0</v>
      </c>
      <c r="F7" t="s">
        <v>0</v>
      </c>
      <c r="G7" t="str">
        <f t="shared" si="2"/>
        <v>ANCHORAGE</v>
      </c>
      <c r="H7" t="str">
        <f t="shared" si="3"/>
        <v>AK </v>
      </c>
      <c r="I7" s="1">
        <f t="shared" si="4"/>
        <v>995070259</v>
      </c>
      <c r="J7" s="1">
        <f t="shared" si="5"/>
        <v>9072671323</v>
      </c>
      <c r="K7" s="1">
        <f t="shared" si="6"/>
        <v>9072671434</v>
      </c>
    </row>
    <row r="8" spans="1:11" ht="12.75">
      <c r="A8" s="1" t="s">
        <v>11</v>
      </c>
      <c r="B8" t="str">
        <f>T("AK930 DIV OF LANDS MNRLS &amp; RES")</f>
        <v>AK930 DIV OF LANDS MNRLS &amp; RES</v>
      </c>
      <c r="C8" t="str">
        <f t="shared" si="0"/>
        <v>6881 ABBOTT LOOP RD</v>
      </c>
      <c r="D8" t="str">
        <f t="shared" si="1"/>
        <v>ATTN: VICKY HAWKINSON</v>
      </c>
      <c r="E8" t="s">
        <v>0</v>
      </c>
      <c r="F8" t="s">
        <v>0</v>
      </c>
      <c r="G8" t="str">
        <f t="shared" si="2"/>
        <v>ANCHORAGE</v>
      </c>
      <c r="H8" t="str">
        <f t="shared" si="3"/>
        <v>AK </v>
      </c>
      <c r="I8" s="1">
        <f t="shared" si="4"/>
        <v>995070259</v>
      </c>
      <c r="J8" s="1">
        <f t="shared" si="5"/>
        <v>9072671323</v>
      </c>
      <c r="K8" s="1">
        <f t="shared" si="6"/>
        <v>9072671434</v>
      </c>
    </row>
    <row r="9" spans="1:11" ht="12.75">
      <c r="A9" s="1" t="s">
        <v>11</v>
      </c>
      <c r="B9" t="str">
        <f>T("AK950 DIV OF SUPPORT SVCS")</f>
        <v>AK950 DIV OF SUPPORT SVCS</v>
      </c>
      <c r="C9" t="str">
        <f t="shared" si="0"/>
        <v>6881 ABBOTT LOOP RD</v>
      </c>
      <c r="D9" t="str">
        <f t="shared" si="1"/>
        <v>ATTN: VICKY HAWKINSON</v>
      </c>
      <c r="E9" t="s">
        <v>0</v>
      </c>
      <c r="F9" t="s">
        <v>0</v>
      </c>
      <c r="G9" t="str">
        <f t="shared" si="2"/>
        <v>ANCHORAGE</v>
      </c>
      <c r="H9" t="str">
        <f t="shared" si="3"/>
        <v>AK </v>
      </c>
      <c r="I9" s="1">
        <f t="shared" si="4"/>
        <v>995070259</v>
      </c>
      <c r="J9" s="1">
        <f t="shared" si="5"/>
        <v>9072671323</v>
      </c>
      <c r="K9" s="1">
        <f t="shared" si="6"/>
        <v>9072671434</v>
      </c>
    </row>
    <row r="10" spans="1:11" ht="12.75">
      <c r="A10" s="1" t="s">
        <v>11</v>
      </c>
      <c r="B10" t="str">
        <f>T("AK960 DIV OF CONVEYANCE MGMT")</f>
        <v>AK960 DIV OF CONVEYANCE MGMT</v>
      </c>
      <c r="C10" t="str">
        <f t="shared" si="0"/>
        <v>6881 ABBOTT LOOP RD</v>
      </c>
      <c r="D10" t="str">
        <f t="shared" si="1"/>
        <v>ATTN: VICKY HAWKINSON</v>
      </c>
      <c r="E10" t="s">
        <v>0</v>
      </c>
      <c r="F10" t="s">
        <v>0</v>
      </c>
      <c r="G10" t="str">
        <f t="shared" si="2"/>
        <v>ANCHORAGE</v>
      </c>
      <c r="H10" t="str">
        <f t="shared" si="3"/>
        <v>AK </v>
      </c>
      <c r="I10" s="1">
        <f t="shared" si="4"/>
        <v>995070259</v>
      </c>
      <c r="J10" s="1">
        <f t="shared" si="5"/>
        <v>9072671323</v>
      </c>
      <c r="K10" s="1">
        <f t="shared" si="6"/>
        <v>9072671434</v>
      </c>
    </row>
    <row r="11" spans="1:11" ht="12.75">
      <c r="A11" s="1" t="s">
        <v>11</v>
      </c>
      <c r="B11" t="str">
        <f>T("AK990 OFC OF PIPELINE MONITRNG")</f>
        <v>AK990 OFC OF PIPELINE MONITRNG</v>
      </c>
      <c r="C11" t="str">
        <f t="shared" si="0"/>
        <v>6881 ABBOTT LOOP RD</v>
      </c>
      <c r="D11" t="str">
        <f t="shared" si="1"/>
        <v>ATTN: VICKY HAWKINSON</v>
      </c>
      <c r="E11" t="s">
        <v>0</v>
      </c>
      <c r="F11" t="s">
        <v>0</v>
      </c>
      <c r="G11" t="str">
        <f t="shared" si="2"/>
        <v>ANCHORAGE</v>
      </c>
      <c r="H11" t="str">
        <f t="shared" si="3"/>
        <v>AK </v>
      </c>
      <c r="I11" s="1">
        <f t="shared" si="4"/>
        <v>995070259</v>
      </c>
      <c r="J11" s="1">
        <f t="shared" si="5"/>
        <v>9072671323</v>
      </c>
      <c r="K11" s="1">
        <f t="shared" si="6"/>
        <v>9072671434</v>
      </c>
    </row>
    <row r="12" spans="1:11" ht="12.75">
      <c r="A12" s="1" t="s">
        <v>11</v>
      </c>
      <c r="B12" t="str">
        <f>T("AZ010 ARIZONA STRIP FIELD")</f>
        <v>AZ010 ARIZONA STRIP FIELD</v>
      </c>
      <c r="C12" t="str">
        <f>T("345 EAST RIVERSIDE DRIVE")</f>
        <v>345 EAST RIVERSIDE DRIVE</v>
      </c>
      <c r="D12" t="str">
        <f>T("ATTN:  JANELL REIFEL")</f>
        <v>ATTN:  JANELL REIFEL</v>
      </c>
      <c r="E12" t="s">
        <v>0</v>
      </c>
      <c r="F12" t="s">
        <v>0</v>
      </c>
      <c r="G12" t="str">
        <f>T("ST. GEORGE")</f>
        <v>ST. GEORGE</v>
      </c>
      <c r="H12" t="str">
        <f>T("UT ")</f>
        <v>UT </v>
      </c>
      <c r="I12" s="1">
        <f>N(847099000)</f>
        <v>847099000</v>
      </c>
      <c r="J12" s="1">
        <f>N(6024179266)</f>
        <v>6024179266</v>
      </c>
      <c r="K12" s="1">
        <f>N(4256883258)</f>
        <v>4256883258</v>
      </c>
    </row>
    <row r="13" spans="1:11" ht="12.75">
      <c r="A13" s="1" t="s">
        <v>11</v>
      </c>
      <c r="B13" t="str">
        <f>T("AZ910 OFC OF STATE DIRECTOR")</f>
        <v>AZ910 OFC OF STATE DIRECTOR</v>
      </c>
      <c r="C13" t="str">
        <f>T("222 N. CENTRAL AVENUE")</f>
        <v>222 N. CENTRAL AVENUE</v>
      </c>
      <c r="D13" t="str">
        <f>T("ATTN:  JANELL REIFEL")</f>
        <v>ATTN:  JANELL REIFEL</v>
      </c>
      <c r="E13" t="s">
        <v>0</v>
      </c>
      <c r="F13" t="s">
        <v>0</v>
      </c>
      <c r="G13" t="str">
        <f>T("PHOENIX")</f>
        <v>PHOENIX</v>
      </c>
      <c r="H13" t="str">
        <f>T("AZ ")</f>
        <v>AZ </v>
      </c>
      <c r="I13" s="1">
        <f>N(850042203)</f>
        <v>850042203</v>
      </c>
      <c r="J13" s="1">
        <f>N(6024179266)</f>
        <v>6024179266</v>
      </c>
      <c r="K13" s="1">
        <f>N(6024179462)</f>
        <v>6024179462</v>
      </c>
    </row>
    <row r="14" spans="1:11" ht="12.75">
      <c r="A14" s="1" t="s">
        <v>11</v>
      </c>
      <c r="B14" t="str">
        <f>T("AZ930 RESOURCES DIVISION")</f>
        <v>AZ930 RESOURCES DIVISION</v>
      </c>
      <c r="C14" t="str">
        <f>T("222 N. CENTRAL AVENUE")</f>
        <v>222 N. CENTRAL AVENUE</v>
      </c>
      <c r="D14" t="str">
        <f>T("ATTN:  JANELL REIFEL")</f>
        <v>ATTN:  JANELL REIFEL</v>
      </c>
      <c r="E14" t="s">
        <v>0</v>
      </c>
      <c r="F14" t="s">
        <v>0</v>
      </c>
      <c r="G14" t="str">
        <f>T("PHOENIX")</f>
        <v>PHOENIX</v>
      </c>
      <c r="H14" t="str">
        <f>T("AZ ")</f>
        <v>AZ </v>
      </c>
      <c r="I14" s="1">
        <f>N(850042203)</f>
        <v>850042203</v>
      </c>
      <c r="J14" s="1">
        <f>N(6024179266)</f>
        <v>6024179266</v>
      </c>
      <c r="K14" s="1">
        <f>N(6024179462)</f>
        <v>6024179462</v>
      </c>
    </row>
    <row r="15" spans="1:11" ht="12.75">
      <c r="A15" s="1" t="s">
        <v>11</v>
      </c>
      <c r="B15" t="str">
        <f>T("AZ950 BUSINESS &amp; SUPPORT SVCS")</f>
        <v>AZ950 BUSINESS &amp; SUPPORT SVCS</v>
      </c>
      <c r="C15" t="str">
        <f>T("222 N. CENTRAL AVENUE")</f>
        <v>222 N. CENTRAL AVENUE</v>
      </c>
      <c r="D15" t="str">
        <f>T("ATTN:  JANELL REIFEL")</f>
        <v>ATTN:  JANELL REIFEL</v>
      </c>
      <c r="E15" t="s">
        <v>0</v>
      </c>
      <c r="F15" t="s">
        <v>0</v>
      </c>
      <c r="G15" t="str">
        <f>T("PHOENIX")</f>
        <v>PHOENIX</v>
      </c>
      <c r="H15" t="str">
        <f>T("AZ ")</f>
        <v>AZ </v>
      </c>
      <c r="I15" s="1">
        <f>N(850042203)</f>
        <v>850042203</v>
      </c>
      <c r="J15" s="1">
        <f>N(6024179266)</f>
        <v>6024179266</v>
      </c>
      <c r="K15" s="1">
        <f>N(6024179462)</f>
        <v>6024179462</v>
      </c>
    </row>
    <row r="16" spans="1:11" ht="12.75">
      <c r="A16" s="1" t="s">
        <v>11</v>
      </c>
      <c r="B16" t="str">
        <f>T("BC650 NATL PROPERTY &amp; SUPPORT")</f>
        <v>BC650 NATL PROPERTY &amp; SUPPORT</v>
      </c>
      <c r="C16" t="str">
        <f>T("BLM DFC BLDG 50")</f>
        <v>BLM DFC BLDG 50</v>
      </c>
      <c r="D16" t="str">
        <f>T("PO BOX 25047")</f>
        <v>PO BOX 25047</v>
      </c>
      <c r="E16" t="str">
        <f>T("BC 650")</f>
        <v>BC 650</v>
      </c>
      <c r="F16" t="s">
        <v>0</v>
      </c>
      <c r="G16" t="str">
        <f>T("DENVER")</f>
        <v>DENVER</v>
      </c>
      <c r="H16" t="str">
        <f>T("CO ")</f>
        <v>CO </v>
      </c>
      <c r="I16" s="1">
        <f>N(802250047)</f>
        <v>802250047</v>
      </c>
      <c r="J16" s="1">
        <f>N(3032366485)</f>
        <v>3032366485</v>
      </c>
      <c r="K16" s="1">
        <f>N(3032360561)</f>
        <v>3032360561</v>
      </c>
    </row>
    <row r="17" spans="1:11" ht="12.75">
      <c r="A17" s="1" t="s">
        <v>11</v>
      </c>
      <c r="B17" t="str">
        <f>T("NI100 OFC OF IRM/MODERNIZTN")</f>
        <v>NI100 OFC OF IRM/MODERNIZTN</v>
      </c>
      <c r="C17" t="str">
        <f>T("BLM DFC BLDG 50")</f>
        <v>BLM DFC BLDG 50</v>
      </c>
      <c r="D17" t="str">
        <f>T("PO BOX 25047")</f>
        <v>PO BOX 25047</v>
      </c>
      <c r="E17" t="str">
        <f>T("NI 100")</f>
        <v>NI 100</v>
      </c>
      <c r="F17" t="s">
        <v>0</v>
      </c>
      <c r="G17" t="str">
        <f>T("DENVER")</f>
        <v>DENVER</v>
      </c>
      <c r="H17" t="str">
        <f>T("CO ")</f>
        <v>CO </v>
      </c>
      <c r="I17" s="1">
        <f>N(802250047)</f>
        <v>802250047</v>
      </c>
      <c r="J17" s="1">
        <f>N(3032366965)</f>
        <v>3032366965</v>
      </c>
      <c r="K17" s="1">
        <f>N(3032363327)</f>
        <v>3032363327</v>
      </c>
    </row>
    <row r="18" spans="1:11" ht="12.75">
      <c r="A18" s="1" t="s">
        <v>11</v>
      </c>
      <c r="B18" t="str">
        <f>T("ST100 NATL APPLIED RES SCI CTR")</f>
        <v>ST100 NATL APPLIED RES SCI CTR</v>
      </c>
      <c r="C18" t="str">
        <f>T("BLM DFC BLDG 50")</f>
        <v>BLM DFC BLDG 50</v>
      </c>
      <c r="D18" t="str">
        <f>T("PO BOX 25047")</f>
        <v>PO BOX 25047</v>
      </c>
      <c r="E18" t="str">
        <f>T("ST 100")</f>
        <v>ST 100</v>
      </c>
      <c r="F18" t="s">
        <v>0</v>
      </c>
      <c r="G18" t="str">
        <f>T("DENVER")</f>
        <v>DENVER</v>
      </c>
      <c r="H18" t="str">
        <f>T("CO ")</f>
        <v>CO </v>
      </c>
      <c r="I18" s="1">
        <f>N(802250047)</f>
        <v>802250047</v>
      </c>
      <c r="J18" s="1">
        <f>N(3032366454)</f>
        <v>3032366454</v>
      </c>
      <c r="K18" s="1">
        <f>N(3032366450)</f>
        <v>3032366450</v>
      </c>
    </row>
    <row r="19" spans="1:11" ht="12.75">
      <c r="A19" s="1" t="s">
        <v>11</v>
      </c>
      <c r="B19" t="str">
        <f>T("CA610 CALIF DESERT DIST OFC")</f>
        <v>CA610 CALIF DESERT DIST OFC</v>
      </c>
      <c r="C19" t="str">
        <f>T("BUREAU OF LAND MANAGEMENT")</f>
        <v>BUREAU OF LAND MANAGEMENT</v>
      </c>
      <c r="D19" t="str">
        <f>T("6221 BOX SPRINGS BLVD.")</f>
        <v>6221 BOX SPRINGS BLVD.</v>
      </c>
      <c r="E19" t="s">
        <v>0</v>
      </c>
      <c r="F19" t="s">
        <v>0</v>
      </c>
      <c r="G19" t="str">
        <f>T("RIVERSIDE")</f>
        <v>RIVERSIDE</v>
      </c>
      <c r="H19" t="str">
        <f>T("CA ")</f>
        <v>CA </v>
      </c>
      <c r="I19" s="1">
        <f>N(92507)</f>
        <v>92507</v>
      </c>
      <c r="J19" s="1">
        <f>N(9096975200)</f>
        <v>9096975200</v>
      </c>
      <c r="K19" s="1">
        <f>N(9096975299)</f>
        <v>9096975299</v>
      </c>
    </row>
    <row r="20" spans="1:11" ht="12.75">
      <c r="A20" s="1" t="s">
        <v>11</v>
      </c>
      <c r="B20" t="str">
        <f>T("CA920 DIV OF ENERGY &amp; MINERALS")</f>
        <v>CA920 DIV OF ENERGY &amp; MINERALS</v>
      </c>
      <c r="C20" t="str">
        <f>T("BUREAU OF LAND MANAGEMENT")</f>
        <v>BUREAU OF LAND MANAGEMENT</v>
      </c>
      <c r="D20" t="str">
        <f>T("2800 COTTAGE WAY  RM W 1834")</f>
        <v>2800 COTTAGE WAY  RM W 1834</v>
      </c>
      <c r="E20" t="s">
        <v>0</v>
      </c>
      <c r="F20" t="s">
        <v>0</v>
      </c>
      <c r="G20" t="str">
        <f>T("SACRAMENTO")</f>
        <v>SACRAMENTO</v>
      </c>
      <c r="H20" t="str">
        <f>T("CA ")</f>
        <v>CA </v>
      </c>
      <c r="I20" s="1">
        <f>N(95825)</f>
        <v>95825</v>
      </c>
      <c r="J20" s="1">
        <f>N(9169784361)</f>
        <v>9169784361</v>
      </c>
      <c r="K20" s="1">
        <f>N(9169784389)</f>
        <v>9169784389</v>
      </c>
    </row>
    <row r="21" spans="1:11" ht="12.75">
      <c r="A21" s="1" t="s">
        <v>11</v>
      </c>
      <c r="B21" t="str">
        <f>T("CA930 DIV OF NATURAL RESOURCES")</f>
        <v>CA930 DIV OF NATURAL RESOURCES</v>
      </c>
      <c r="C21" t="str">
        <f>T("BUREAU OF LAND MANAGEMENT")</f>
        <v>BUREAU OF LAND MANAGEMENT</v>
      </c>
      <c r="D21" t="str">
        <f>T("2800 COTTAGE WAY  RM W 1834")</f>
        <v>2800 COTTAGE WAY  RM W 1834</v>
      </c>
      <c r="E21" t="s">
        <v>0</v>
      </c>
      <c r="F21" t="s">
        <v>0</v>
      </c>
      <c r="G21" t="str">
        <f>T("SACRAMENTO")</f>
        <v>SACRAMENTO</v>
      </c>
      <c r="H21" t="str">
        <f>T("CA ")</f>
        <v>CA </v>
      </c>
      <c r="I21" s="1">
        <f>N(95825)</f>
        <v>95825</v>
      </c>
      <c r="J21" s="1">
        <f>N(9169784630)</f>
        <v>9169784630</v>
      </c>
      <c r="K21" s="1">
        <f>N(9169784657)</f>
        <v>9169784657</v>
      </c>
    </row>
    <row r="22" spans="1:11" ht="12.75">
      <c r="A22" s="1" t="s">
        <v>11</v>
      </c>
      <c r="B22" t="str">
        <f>T("CA940 DIVISION OF SUPPORT SVCS")</f>
        <v>CA940 DIVISION OF SUPPORT SVCS</v>
      </c>
      <c r="C22" t="str">
        <f>T("BUREAU OF LAND MANAGEMENT")</f>
        <v>BUREAU OF LAND MANAGEMENT</v>
      </c>
      <c r="D22" t="str">
        <f>T("2800 COTTAGE WAY  RM W 1834")</f>
        <v>2800 COTTAGE WAY  RM W 1834</v>
      </c>
      <c r="E22" t="s">
        <v>0</v>
      </c>
      <c r="F22" t="s">
        <v>0</v>
      </c>
      <c r="G22" t="str">
        <f>T("SACRAMENTO")</f>
        <v>SACRAMENTO</v>
      </c>
      <c r="H22" t="str">
        <f>T("CA ")</f>
        <v>CA </v>
      </c>
      <c r="I22" s="1">
        <f>N(95825)</f>
        <v>95825</v>
      </c>
      <c r="J22" s="1">
        <f>N(9169784523)</f>
        <v>9169784523</v>
      </c>
      <c r="K22" s="1">
        <f>N(9169784444)</f>
        <v>9169784444</v>
      </c>
    </row>
    <row r="23" spans="1:11" ht="12.75">
      <c r="A23" s="1" t="s">
        <v>11</v>
      </c>
      <c r="B23" t="str">
        <f>T("CO600 WESTERN SLOPE  CRAIG")</f>
        <v>CO600 WESTERN SLOPE  CRAIG</v>
      </c>
      <c r="C23" t="str">
        <f>T("455 EMERSON STREET")</f>
        <v>455 EMERSON STREET</v>
      </c>
      <c r="D23" t="str">
        <f>T("ATTN: AMBER BAKER")</f>
        <v>ATTN: AMBER BAKER</v>
      </c>
      <c r="E23" t="s">
        <v>0</v>
      </c>
      <c r="F23" t="s">
        <v>0</v>
      </c>
      <c r="G23" t="str">
        <f>T("CRAIG")</f>
        <v>CRAIG</v>
      </c>
      <c r="H23" t="str">
        <f aca="true" t="shared" si="7" ref="H23:H29">T("CO ")</f>
        <v>CO </v>
      </c>
      <c r="I23" s="1">
        <f>N(81625)</f>
        <v>81625</v>
      </c>
      <c r="J23" s="1">
        <f>N(9708265000)</f>
        <v>9708265000</v>
      </c>
      <c r="K23" s="1">
        <f>N(9708265002)</f>
        <v>9708265002</v>
      </c>
    </row>
    <row r="24" spans="1:11" ht="12.75">
      <c r="A24" s="1" t="s">
        <v>11</v>
      </c>
      <c r="B24" t="str">
        <f>T("CO600 WESTERN SLOPE  MONTROSE")</f>
        <v>CO600 WESTERN SLOPE  MONTROSE</v>
      </c>
      <c r="C24" t="str">
        <f>T("2465 SOUTH TOWNSEND")</f>
        <v>2465 SOUTH TOWNSEND</v>
      </c>
      <c r="D24" t="str">
        <f>T("ATTN: KAREN JETLEY")</f>
        <v>ATTN: KAREN JETLEY</v>
      </c>
      <c r="E24" t="s">
        <v>0</v>
      </c>
      <c r="F24" t="s">
        <v>0</v>
      </c>
      <c r="G24" t="str">
        <f>T("MONTROSE")</f>
        <v>MONTROSE</v>
      </c>
      <c r="H24" t="str">
        <f t="shared" si="7"/>
        <v>CO </v>
      </c>
      <c r="I24" s="1">
        <f>N(81401)</f>
        <v>81401</v>
      </c>
      <c r="J24" s="1">
        <f>N(9702405300)</f>
        <v>9702405300</v>
      </c>
      <c r="K24" s="1">
        <f>N(9702405368)</f>
        <v>9702405368</v>
      </c>
    </row>
    <row r="25" spans="1:11" ht="12.75">
      <c r="A25" s="1" t="s">
        <v>11</v>
      </c>
      <c r="B25" t="str">
        <f>T("CO500 SAN LUIS VALLEY PUB LND")</f>
        <v>CO500 SAN LUIS VALLEY PUB LND</v>
      </c>
      <c r="C25" t="str">
        <f>T("3170 EAST MAIN ST.")</f>
        <v>3170 EAST MAIN ST.</v>
      </c>
      <c r="D25" t="str">
        <f>T("ATTN: BARBARA CREECH")</f>
        <v>ATTN: BARBARA CREECH</v>
      </c>
      <c r="E25" t="s">
        <v>0</v>
      </c>
      <c r="F25" t="s">
        <v>0</v>
      </c>
      <c r="G25" t="str">
        <f>T("CANON CITY")</f>
        <v>CANON CITY</v>
      </c>
      <c r="H25" t="str">
        <f t="shared" si="7"/>
        <v>CO </v>
      </c>
      <c r="I25" s="1">
        <f>N(81212)</f>
        <v>81212</v>
      </c>
      <c r="J25" s="1">
        <f>N(7192698500)</f>
        <v>7192698500</v>
      </c>
      <c r="K25" s="1">
        <f>N(7192698599)</f>
        <v>7192698599</v>
      </c>
    </row>
    <row r="26" spans="1:11" ht="12.75">
      <c r="A26" s="1" t="s">
        <v>11</v>
      </c>
      <c r="B26" t="str">
        <f>T("CO600 WESTERN SLOPE GRAND JCTN")</f>
        <v>CO600 WESTERN SLOPE GRAND JCTN</v>
      </c>
      <c r="C26" t="str">
        <f>T("2815 H ROAD")</f>
        <v>2815 H ROAD</v>
      </c>
      <c r="D26" t="str">
        <f>T("ATTN: AMBER BAKER")</f>
        <v>ATTN: AMBER BAKER</v>
      </c>
      <c r="E26" t="s">
        <v>0</v>
      </c>
      <c r="F26" t="s">
        <v>0</v>
      </c>
      <c r="G26" t="str">
        <f>T("GRAND JUNCTION")</f>
        <v>GRAND JUNCTION</v>
      </c>
      <c r="H26" t="str">
        <f t="shared" si="7"/>
        <v>CO </v>
      </c>
      <c r="I26" s="1">
        <f>N(81506)</f>
        <v>81506</v>
      </c>
      <c r="J26" s="1">
        <f>N(9702443000)</f>
        <v>9702443000</v>
      </c>
      <c r="K26" s="1">
        <f>N(9702443083)</f>
        <v>9702443083</v>
      </c>
    </row>
    <row r="27" spans="1:11" ht="12.75">
      <c r="A27" s="1" t="s">
        <v>11</v>
      </c>
      <c r="B27" t="str">
        <f>T("CO910 OFC OF STATE DIRECTOR")</f>
        <v>CO910 OFC OF STATE DIRECTOR</v>
      </c>
      <c r="C27" t="str">
        <f>T("2850 YOUNGFIELD ST")</f>
        <v>2850 YOUNGFIELD ST</v>
      </c>
      <c r="D27" t="str">
        <f>T("ATTN: FRANK GUTIERREZ")</f>
        <v>ATTN: FRANK GUTIERREZ</v>
      </c>
      <c r="E27" t="s">
        <v>0</v>
      </c>
      <c r="F27" t="s">
        <v>0</v>
      </c>
      <c r="G27" t="str">
        <f>T("LAKEWOOD")</f>
        <v>LAKEWOOD</v>
      </c>
      <c r="H27" t="str">
        <f t="shared" si="7"/>
        <v>CO </v>
      </c>
      <c r="I27" s="1">
        <f>N(802157076)</f>
        <v>802157076</v>
      </c>
      <c r="J27" s="1">
        <f>N(3032393700)</f>
        <v>3032393700</v>
      </c>
      <c r="K27" s="1">
        <f>N(3032393933)</f>
        <v>3032393933</v>
      </c>
    </row>
    <row r="28" spans="1:11" ht="12.75">
      <c r="A28" s="1" t="s">
        <v>11</v>
      </c>
      <c r="B28" t="str">
        <f>T("CO930 DIV OF RESOURCE SVCS")</f>
        <v>CO930 DIV OF RESOURCE SVCS</v>
      </c>
      <c r="C28" t="str">
        <f>T("2850 YOUNGFIELD ST")</f>
        <v>2850 YOUNGFIELD ST</v>
      </c>
      <c r="D28" t="str">
        <f>T("ATTN: FRANK GUTIERREZ")</f>
        <v>ATTN: FRANK GUTIERREZ</v>
      </c>
      <c r="E28" t="s">
        <v>0</v>
      </c>
      <c r="F28" t="s">
        <v>0</v>
      </c>
      <c r="G28" t="str">
        <f>T("LAKEWOOD")</f>
        <v>LAKEWOOD</v>
      </c>
      <c r="H28" t="str">
        <f t="shared" si="7"/>
        <v>CO </v>
      </c>
      <c r="I28" s="1">
        <f>N(802157076)</f>
        <v>802157076</v>
      </c>
      <c r="J28" s="1">
        <f>N(3032393760)</f>
        <v>3032393760</v>
      </c>
      <c r="K28" s="1">
        <f>N(3032393933)</f>
        <v>3032393933</v>
      </c>
    </row>
    <row r="29" spans="1:11" ht="12.75">
      <c r="A29" s="1" t="s">
        <v>11</v>
      </c>
      <c r="B29" t="str">
        <f>T("CO950 DIV OF SUPPORT SVCS")</f>
        <v>CO950 DIV OF SUPPORT SVCS</v>
      </c>
      <c r="C29" t="str">
        <f>T("2850 YOUNGFIELD ST")</f>
        <v>2850 YOUNGFIELD ST</v>
      </c>
      <c r="D29" t="str">
        <f>T("ATTN: FRANK GUTIERREZ")</f>
        <v>ATTN: FRANK GUTIERREZ</v>
      </c>
      <c r="E29" t="s">
        <v>0</v>
      </c>
      <c r="F29" t="s">
        <v>0</v>
      </c>
      <c r="G29" t="str">
        <f>T("LAKEWOOD")</f>
        <v>LAKEWOOD</v>
      </c>
      <c r="H29" t="str">
        <f t="shared" si="7"/>
        <v>CO </v>
      </c>
      <c r="I29" s="1">
        <f>N(802157076)</f>
        <v>802157076</v>
      </c>
      <c r="J29" s="1">
        <f>N(3032393800)</f>
        <v>3032393800</v>
      </c>
      <c r="K29" s="1">
        <f>N(3032393933)</f>
        <v>3032393933</v>
      </c>
    </row>
    <row r="30" spans="1:11" ht="12.75">
      <c r="A30" s="1" t="s">
        <v>11</v>
      </c>
      <c r="B30" t="str">
        <f>T("ES020 JACKSON FIELD OFC")</f>
        <v>ES020 JACKSON FIELD OFC</v>
      </c>
      <c r="C30" t="str">
        <f aca="true" t="shared" si="8" ref="C30:C35">T("7450 BOSTON BLVD")</f>
        <v>7450 BOSTON BLVD</v>
      </c>
      <c r="D30" t="str">
        <f aca="true" t="shared" si="9" ref="D30:D35">T("ATTN: TONY MAYFIELD")</f>
        <v>ATTN: TONY MAYFIELD</v>
      </c>
      <c r="E30" t="s">
        <v>0</v>
      </c>
      <c r="F30" t="s">
        <v>0</v>
      </c>
      <c r="G30" t="str">
        <f aca="true" t="shared" si="10" ref="G30:G35">T("SPRINGFIELD")</f>
        <v>SPRINGFIELD</v>
      </c>
      <c r="H30" t="str">
        <f aca="true" t="shared" si="11" ref="H30:H35">T("VA ")</f>
        <v>VA </v>
      </c>
      <c r="I30" s="1">
        <f aca="true" t="shared" si="12" ref="I30:I35">N(22153)</f>
        <v>22153</v>
      </c>
      <c r="J30" s="1">
        <f aca="true" t="shared" si="13" ref="J30:J35">N(7034401588)</f>
        <v>7034401588</v>
      </c>
      <c r="K30" s="1">
        <f aca="true" t="shared" si="14" ref="K30:K35">N(7034401599)</f>
        <v>7034401599</v>
      </c>
    </row>
    <row r="31" spans="1:11" ht="12.75">
      <c r="A31" s="1" t="s">
        <v>11</v>
      </c>
      <c r="B31" t="str">
        <f>T("ES030 MILWAUKEE FIELD OFC")</f>
        <v>ES030 MILWAUKEE FIELD OFC</v>
      </c>
      <c r="C31" t="str">
        <f t="shared" si="8"/>
        <v>7450 BOSTON BLVD</v>
      </c>
      <c r="D31" t="str">
        <f t="shared" si="9"/>
        <v>ATTN: TONY MAYFIELD</v>
      </c>
      <c r="E31" t="s">
        <v>0</v>
      </c>
      <c r="F31" t="s">
        <v>0</v>
      </c>
      <c r="G31" t="str">
        <f t="shared" si="10"/>
        <v>SPRINGFIELD</v>
      </c>
      <c r="H31" t="str">
        <f t="shared" si="11"/>
        <v>VA </v>
      </c>
      <c r="I31" s="1">
        <f t="shared" si="12"/>
        <v>22153</v>
      </c>
      <c r="J31" s="1">
        <f t="shared" si="13"/>
        <v>7034401588</v>
      </c>
      <c r="K31" s="1">
        <f t="shared" si="14"/>
        <v>7034401599</v>
      </c>
    </row>
    <row r="32" spans="1:11" ht="12.75">
      <c r="A32" s="1" t="s">
        <v>11</v>
      </c>
      <c r="B32" t="str">
        <f>T("ES910 OFC OF STATE DIRECTOR")</f>
        <v>ES910 OFC OF STATE DIRECTOR</v>
      </c>
      <c r="C32" t="str">
        <f t="shared" si="8"/>
        <v>7450 BOSTON BLVD</v>
      </c>
      <c r="D32" t="str">
        <f t="shared" si="9"/>
        <v>ATTN: TONY MAYFIELD</v>
      </c>
      <c r="E32" t="s">
        <v>0</v>
      </c>
      <c r="F32" t="s">
        <v>0</v>
      </c>
      <c r="G32" t="str">
        <f t="shared" si="10"/>
        <v>SPRINGFIELD</v>
      </c>
      <c r="H32" t="str">
        <f t="shared" si="11"/>
        <v>VA </v>
      </c>
      <c r="I32" s="1">
        <f t="shared" si="12"/>
        <v>22153</v>
      </c>
      <c r="J32" s="1">
        <f t="shared" si="13"/>
        <v>7034401588</v>
      </c>
      <c r="K32" s="1">
        <f t="shared" si="14"/>
        <v>7034401599</v>
      </c>
    </row>
    <row r="33" spans="1:11" ht="12.75">
      <c r="A33" s="1" t="s">
        <v>11</v>
      </c>
      <c r="B33" t="str">
        <f>T("ES930 DIV OF NATURAL RESOURCES")</f>
        <v>ES930 DIV OF NATURAL RESOURCES</v>
      </c>
      <c r="C33" t="str">
        <f t="shared" si="8"/>
        <v>7450 BOSTON BLVD</v>
      </c>
      <c r="D33" t="str">
        <f t="shared" si="9"/>
        <v>ATTN: TONY MAYFIELD</v>
      </c>
      <c r="E33" t="s">
        <v>0</v>
      </c>
      <c r="F33" t="s">
        <v>0</v>
      </c>
      <c r="G33" t="str">
        <f t="shared" si="10"/>
        <v>SPRINGFIELD</v>
      </c>
      <c r="H33" t="str">
        <f t="shared" si="11"/>
        <v>VA </v>
      </c>
      <c r="I33" s="1">
        <f t="shared" si="12"/>
        <v>22153</v>
      </c>
      <c r="J33" s="1">
        <f t="shared" si="13"/>
        <v>7034401588</v>
      </c>
      <c r="K33" s="1">
        <f t="shared" si="14"/>
        <v>7034401599</v>
      </c>
    </row>
    <row r="34" spans="1:11" ht="12.75">
      <c r="A34" s="1" t="s">
        <v>11</v>
      </c>
      <c r="B34" t="str">
        <f>T("ES950 DIV OF BUS PRACTICES")</f>
        <v>ES950 DIV OF BUS PRACTICES</v>
      </c>
      <c r="C34" t="str">
        <f t="shared" si="8"/>
        <v>7450 BOSTON BLVD</v>
      </c>
      <c r="D34" t="str">
        <f t="shared" si="9"/>
        <v>ATTN: TONY MAYFIELD</v>
      </c>
      <c r="E34" t="s">
        <v>0</v>
      </c>
      <c r="F34" t="s">
        <v>0</v>
      </c>
      <c r="G34" t="str">
        <f t="shared" si="10"/>
        <v>SPRINGFIELD</v>
      </c>
      <c r="H34" t="str">
        <f t="shared" si="11"/>
        <v>VA </v>
      </c>
      <c r="I34" s="1">
        <f t="shared" si="12"/>
        <v>22153</v>
      </c>
      <c r="J34" s="1">
        <f t="shared" si="13"/>
        <v>7034401588</v>
      </c>
      <c r="K34" s="1">
        <f t="shared" si="14"/>
        <v>7034401599</v>
      </c>
    </row>
    <row r="35" spans="1:11" ht="12.75">
      <c r="A35" s="1" t="s">
        <v>11</v>
      </c>
      <c r="B35" t="str">
        <f>T("ES960 DIV OF CADASTRAL SVY/GR")</f>
        <v>ES960 DIV OF CADASTRAL SVY/GR</v>
      </c>
      <c r="C35" t="str">
        <f t="shared" si="8"/>
        <v>7450 BOSTON BLVD</v>
      </c>
      <c r="D35" t="str">
        <f t="shared" si="9"/>
        <v>ATTN: TONY MAYFIELD</v>
      </c>
      <c r="E35" t="s">
        <v>0</v>
      </c>
      <c r="F35" t="s">
        <v>0</v>
      </c>
      <c r="G35" t="str">
        <f t="shared" si="10"/>
        <v>SPRINGFIELD</v>
      </c>
      <c r="H35" t="str">
        <f t="shared" si="11"/>
        <v>VA </v>
      </c>
      <c r="I35" s="1">
        <f t="shared" si="12"/>
        <v>22153</v>
      </c>
      <c r="J35" s="1">
        <f t="shared" si="13"/>
        <v>7034401588</v>
      </c>
      <c r="K35" s="1">
        <f t="shared" si="14"/>
        <v>7034401599</v>
      </c>
    </row>
    <row r="36" spans="1:11" ht="12.75">
      <c r="A36" s="1" t="s">
        <v>11</v>
      </c>
      <c r="B36" t="str">
        <f>T("FA100 OFC OF FIRE &amp; AVIA DIR")</f>
        <v>FA100 OFC OF FIRE &amp; AVIA DIR</v>
      </c>
      <c r="C36" t="str">
        <f>T("3833 S DEVELOPMENT AVE")</f>
        <v>3833 S DEVELOPMENT AVE</v>
      </c>
      <c r="D36" t="str">
        <f>T("ATTN: PROCUREMENT OFFICE")</f>
        <v>ATTN: PROCUREMENT OFFICE</v>
      </c>
      <c r="E36" t="s">
        <v>0</v>
      </c>
      <c r="F36" t="s">
        <v>0</v>
      </c>
      <c r="G36" t="str">
        <f>T("BOISE")</f>
        <v>BOISE</v>
      </c>
      <c r="H36" t="str">
        <f>T("ID ")</f>
        <v>ID </v>
      </c>
      <c r="I36" s="1">
        <f>N(837055354)</f>
        <v>837055354</v>
      </c>
      <c r="J36" s="1">
        <f>N(2083875509)</f>
        <v>2083875509</v>
      </c>
      <c r="K36" s="1">
        <f>N(2083875574)</f>
        <v>2083875574</v>
      </c>
    </row>
    <row r="37" spans="1:11" ht="12.75">
      <c r="A37" s="1" t="s">
        <v>11</v>
      </c>
      <c r="B37" t="str">
        <f>T("FC200 NIFC ADMINISTRATOR")</f>
        <v>FC200 NIFC ADMINISTRATOR</v>
      </c>
      <c r="C37" t="str">
        <f>T("3833 S DEVELOPMENT AVE")</f>
        <v>3833 S DEVELOPMENT AVE</v>
      </c>
      <c r="D37" t="str">
        <f>T("ATTN: PROCUREMENT OFFICE")</f>
        <v>ATTN: PROCUREMENT OFFICE</v>
      </c>
      <c r="E37" t="s">
        <v>0</v>
      </c>
      <c r="F37" t="s">
        <v>0</v>
      </c>
      <c r="G37" t="str">
        <f>T("BOISE")</f>
        <v>BOISE</v>
      </c>
      <c r="H37" t="str">
        <f>T("ID ")</f>
        <v>ID </v>
      </c>
      <c r="I37" s="1">
        <f>N(837055354)</f>
        <v>837055354</v>
      </c>
      <c r="J37" s="1">
        <f>N(2083875509)</f>
        <v>2083875509</v>
      </c>
      <c r="K37" s="1">
        <f>N(2083875574)</f>
        <v>2083875574</v>
      </c>
    </row>
    <row r="38" spans="1:11" ht="12.75">
      <c r="A38" s="1" t="s">
        <v>11</v>
      </c>
      <c r="B38" t="str">
        <f>T("ID300 IDAHO FALLS DIST OFF")</f>
        <v>ID300 IDAHO FALLS DIST OFF</v>
      </c>
      <c r="C38" t="str">
        <f>T("3948 DEVELOPMENT AVENUE")</f>
        <v>3948 DEVELOPMENT AVENUE</v>
      </c>
      <c r="D38" t="s">
        <v>0</v>
      </c>
      <c r="E38" t="s">
        <v>0</v>
      </c>
      <c r="F38" t="s">
        <v>0</v>
      </c>
      <c r="G38" t="str">
        <f>T("BOISE")</f>
        <v>BOISE</v>
      </c>
      <c r="H38" t="str">
        <f>T("ID ")</f>
        <v>ID </v>
      </c>
      <c r="I38" s="1">
        <f>N(837055389)</f>
        <v>837055389</v>
      </c>
      <c r="J38" s="1">
        <f>N(9)</f>
        <v>9</v>
      </c>
      <c r="K38" s="1">
        <f>N(2083843493)</f>
        <v>2083843493</v>
      </c>
    </row>
    <row r="39" spans="1:11" ht="12.75">
      <c r="A39" s="1" t="s">
        <v>11</v>
      </c>
      <c r="B39" t="str">
        <f>T("ID910 OFC OF STATE DIRECTOR")</f>
        <v>ID910 OFC OF STATE DIRECTOR</v>
      </c>
      <c r="C39" t="str">
        <f>T("1387 S VINNELL WAY")</f>
        <v>1387 S VINNELL WAY</v>
      </c>
      <c r="D39" t="s">
        <v>0</v>
      </c>
      <c r="E39" t="s">
        <v>0</v>
      </c>
      <c r="F39" t="s">
        <v>0</v>
      </c>
      <c r="G39" t="str">
        <f>T("BOISE")</f>
        <v>BOISE</v>
      </c>
      <c r="H39" t="str">
        <f>T("ID ")</f>
        <v>ID </v>
      </c>
      <c r="I39" s="1">
        <f>N(837091657)</f>
        <v>837091657</v>
      </c>
      <c r="J39" s="1" t="s">
        <v>0</v>
      </c>
      <c r="K39" s="1">
        <f>N(2083733915)</f>
        <v>2083733915</v>
      </c>
    </row>
    <row r="40" spans="1:11" ht="12.75">
      <c r="A40" s="1" t="s">
        <v>11</v>
      </c>
      <c r="B40" t="str">
        <f>T("ID950 DIV OF SUPPORT SERVICES")</f>
        <v>ID950 DIV OF SUPPORT SERVICES</v>
      </c>
      <c r="C40" t="str">
        <f>T("1387 S VINNELL WAY")</f>
        <v>1387 S VINNELL WAY</v>
      </c>
      <c r="D40" t="s">
        <v>0</v>
      </c>
      <c r="E40" t="s">
        <v>0</v>
      </c>
      <c r="F40" t="s">
        <v>0</v>
      </c>
      <c r="G40" t="str">
        <f>T("BOISE")</f>
        <v>BOISE</v>
      </c>
      <c r="H40" t="str">
        <f>T("ID ")</f>
        <v>ID </v>
      </c>
      <c r="I40" s="1">
        <f>N(837091657)</f>
        <v>837091657</v>
      </c>
      <c r="J40" s="1" t="s">
        <v>0</v>
      </c>
      <c r="K40" s="1">
        <f>N(2083733915)</f>
        <v>2083733915</v>
      </c>
    </row>
    <row r="41" spans="1:11" ht="12.75">
      <c r="A41" s="1" t="s">
        <v>11</v>
      </c>
      <c r="B41" t="str">
        <f>T("MT010 BILLINGS FIELD OFC")</f>
        <v>MT010 BILLINGS FIELD OFC</v>
      </c>
      <c r="C41" t="str">
        <f>T("5001 SOUTHGATE DRIVE")</f>
        <v>5001 SOUTHGATE DRIVE</v>
      </c>
      <c r="D41" t="str">
        <f>T("P. O. BOX 36800")</f>
        <v>P. O. BOX 36800</v>
      </c>
      <c r="E41" t="s">
        <v>0</v>
      </c>
      <c r="F41" t="s">
        <v>0</v>
      </c>
      <c r="G41" t="str">
        <f>T("BILLINGS")</f>
        <v>BILLINGS</v>
      </c>
      <c r="H41" t="str">
        <f>T("MT ")</f>
        <v>MT </v>
      </c>
      <c r="I41" s="1">
        <f>N(591076800)</f>
        <v>591076800</v>
      </c>
      <c r="J41" s="1" t="s">
        <v>0</v>
      </c>
      <c r="K41" s="1">
        <f>N(4068965281)</f>
        <v>4068965281</v>
      </c>
    </row>
    <row r="42" spans="1:11" ht="12.75">
      <c r="A42" s="1" t="s">
        <v>11</v>
      </c>
      <c r="B42" t="str">
        <f>T("MT020 MILES CITY FIELD OFC")</f>
        <v>MT020 MILES CITY FIELD OFC</v>
      </c>
      <c r="C42" t="str">
        <f>T("111 GARYOWEN ROAD")</f>
        <v>111 GARYOWEN ROAD</v>
      </c>
      <c r="D42" t="s">
        <v>0</v>
      </c>
      <c r="E42" t="s">
        <v>0</v>
      </c>
      <c r="F42" t="s">
        <v>0</v>
      </c>
      <c r="G42" t="str">
        <f>T("MILES CITY")</f>
        <v>MILES CITY</v>
      </c>
      <c r="H42" t="str">
        <f>T("MT ")</f>
        <v>MT </v>
      </c>
      <c r="I42" s="1">
        <f>N(59301)</f>
        <v>59301</v>
      </c>
      <c r="J42" s="1">
        <f>N(9)</f>
        <v>9</v>
      </c>
      <c r="K42" s="1">
        <f>N(4062332921)</f>
        <v>4062332921</v>
      </c>
    </row>
    <row r="43" spans="1:11" ht="12.75">
      <c r="A43" s="1" t="s">
        <v>11</v>
      </c>
      <c r="B43" t="str">
        <f>T("MT030 NORTH DAKOTA FIELD OFC")</f>
        <v>MT030 NORTH DAKOTA FIELD OFC</v>
      </c>
      <c r="C43" t="str">
        <f>T("2933 THIRD AVENUE WEST")</f>
        <v>2933 THIRD AVENUE WEST</v>
      </c>
      <c r="D43" t="s">
        <v>0</v>
      </c>
      <c r="E43" t="s">
        <v>0</v>
      </c>
      <c r="F43" t="s">
        <v>0</v>
      </c>
      <c r="G43" t="str">
        <f>T("DICKINSON")</f>
        <v>DICKINSON</v>
      </c>
      <c r="H43" t="str">
        <f>T("ND ")</f>
        <v>ND </v>
      </c>
      <c r="I43" s="1">
        <f>N(586012619)</f>
        <v>586012619</v>
      </c>
      <c r="J43" s="1" t="s">
        <v>0</v>
      </c>
      <c r="K43" s="1">
        <f>N(7012278510)</f>
        <v>7012278510</v>
      </c>
    </row>
    <row r="44" spans="1:11" ht="12.75">
      <c r="A44" s="1" t="s">
        <v>11</v>
      </c>
      <c r="B44" t="str">
        <f>T("MT040 SOUTH DAKOTA FIELD OFC")</f>
        <v>MT040 SOUTH DAKOTA FIELD OFC</v>
      </c>
      <c r="C44" t="str">
        <f>T("310 ROUNDUP STREET")</f>
        <v>310 ROUNDUP STREET</v>
      </c>
      <c r="D44" t="s">
        <v>0</v>
      </c>
      <c r="E44" t="s">
        <v>0</v>
      </c>
      <c r="F44" t="s">
        <v>0</v>
      </c>
      <c r="G44" t="str">
        <f>T("BELLE FOURCHE")</f>
        <v>BELLE FOURCHE</v>
      </c>
      <c r="H44" t="str">
        <f>T("SD ")</f>
        <v>SD </v>
      </c>
      <c r="I44" s="1">
        <f>N(577171698)</f>
        <v>577171698</v>
      </c>
      <c r="J44" s="1" t="s">
        <v>0</v>
      </c>
      <c r="K44" s="1">
        <f>N(6058927015)</f>
        <v>6058927015</v>
      </c>
    </row>
    <row r="45" spans="1:11" ht="12.75">
      <c r="A45" s="1" t="s">
        <v>11</v>
      </c>
      <c r="B45" t="str">
        <f>T("MT050 DILLON FIELD OFC")</f>
        <v>MT050 DILLON FIELD OFC</v>
      </c>
      <c r="C45" t="str">
        <f>T("1005 SELWAY DRIVE")</f>
        <v>1005 SELWAY DRIVE</v>
      </c>
      <c r="D45" t="s">
        <v>0</v>
      </c>
      <c r="E45" t="s">
        <v>0</v>
      </c>
      <c r="F45" t="s">
        <v>0</v>
      </c>
      <c r="G45" t="str">
        <f>T("DILLON")</f>
        <v>DILLON</v>
      </c>
      <c r="H45" t="str">
        <f aca="true" t="shared" si="15" ref="H45:H50">T("MT ")</f>
        <v>MT </v>
      </c>
      <c r="I45" s="1">
        <f>N(597259431)</f>
        <v>597259431</v>
      </c>
      <c r="J45" s="1" t="s">
        <v>0</v>
      </c>
      <c r="K45" s="1">
        <f>N(4066832970)</f>
        <v>4066832970</v>
      </c>
    </row>
    <row r="46" spans="1:11" ht="12.75">
      <c r="A46" s="1" t="s">
        <v>11</v>
      </c>
      <c r="B46" t="str">
        <f>T("MT070 BUTTE FIELD OFC")</f>
        <v>MT070 BUTTE FIELD OFC</v>
      </c>
      <c r="C46" t="str">
        <f>T("106 NORTH PARKMONT")</f>
        <v>106 NORTH PARKMONT</v>
      </c>
      <c r="D46" t="s">
        <v>0</v>
      </c>
      <c r="E46" t="s">
        <v>0</v>
      </c>
      <c r="F46" t="s">
        <v>0</v>
      </c>
      <c r="G46" t="str">
        <f>T("BUTTE")</f>
        <v>BUTTE</v>
      </c>
      <c r="H46" t="str">
        <f t="shared" si="15"/>
        <v>MT </v>
      </c>
      <c r="I46" s="1">
        <f>N(597013388)</f>
        <v>597013388</v>
      </c>
      <c r="J46" s="1">
        <f>N(9)</f>
        <v>9</v>
      </c>
      <c r="K46" s="1">
        <f>N(4065337660)</f>
        <v>4065337660</v>
      </c>
    </row>
    <row r="47" spans="1:11" ht="12.75">
      <c r="A47" s="1" t="s">
        <v>11</v>
      </c>
      <c r="B47" t="str">
        <f>T("MT090 MALTA FIELD OFC")</f>
        <v>MT090 MALTA FIELD OFC</v>
      </c>
      <c r="C47" t="str">
        <f>T("501 S. 2ND STREET E")</f>
        <v>501 S. 2ND STREET E</v>
      </c>
      <c r="D47" t="s">
        <v>0</v>
      </c>
      <c r="E47" t="s">
        <v>0</v>
      </c>
      <c r="F47" t="s">
        <v>0</v>
      </c>
      <c r="G47" t="str">
        <f>T("MALTA")</f>
        <v>MALTA</v>
      </c>
      <c r="H47" t="str">
        <f t="shared" si="15"/>
        <v>MT </v>
      </c>
      <c r="I47" s="1">
        <f>N(59538)</f>
        <v>59538</v>
      </c>
      <c r="J47" s="1" t="s">
        <v>0</v>
      </c>
      <c r="K47" s="1">
        <f>N(4066542671)</f>
        <v>4066542671</v>
      </c>
    </row>
    <row r="48" spans="1:11" ht="12.75">
      <c r="A48" s="1" t="s">
        <v>11</v>
      </c>
      <c r="B48" t="str">
        <f>T("MT100 MISSOULA FIELD OFC")</f>
        <v>MT100 MISSOULA FIELD OFC</v>
      </c>
      <c r="C48" t="str">
        <f>T("3255 FT MISSOULA ROAD")</f>
        <v>3255 FT MISSOULA ROAD</v>
      </c>
      <c r="D48" t="s">
        <v>0</v>
      </c>
      <c r="E48" t="s">
        <v>0</v>
      </c>
      <c r="F48" t="s">
        <v>0</v>
      </c>
      <c r="G48" t="str">
        <f>T("MISSOULA")</f>
        <v>MISSOULA</v>
      </c>
      <c r="H48" t="str">
        <f t="shared" si="15"/>
        <v>MT </v>
      </c>
      <c r="I48" s="1">
        <f>N(598047293)</f>
        <v>598047293</v>
      </c>
      <c r="J48" s="1" t="s">
        <v>0</v>
      </c>
      <c r="K48" s="1">
        <f>N(4063293721)</f>
        <v>4063293721</v>
      </c>
    </row>
    <row r="49" spans="1:11" ht="12.75">
      <c r="A49" s="1" t="s">
        <v>11</v>
      </c>
      <c r="B49" t="str">
        <f>T("MT910 OFC OF STATE DIRECTOR")</f>
        <v>MT910 OFC OF STATE DIRECTOR</v>
      </c>
      <c r="C49" t="str">
        <f>T("5001 SOUTHGATE DRIVE")</f>
        <v>5001 SOUTHGATE DRIVE</v>
      </c>
      <c r="D49" t="str">
        <f>T("P.O.BOX 36800")</f>
        <v>P.O.BOX 36800</v>
      </c>
      <c r="E49" t="s">
        <v>0</v>
      </c>
      <c r="F49" t="s">
        <v>0</v>
      </c>
      <c r="G49" t="str">
        <f>T("BILLINGS")</f>
        <v>BILLINGS</v>
      </c>
      <c r="H49" t="str">
        <f t="shared" si="15"/>
        <v>MT </v>
      </c>
      <c r="I49" s="1">
        <f>N(591076800)</f>
        <v>591076800</v>
      </c>
      <c r="J49" s="1" t="s">
        <v>0</v>
      </c>
      <c r="K49" s="1">
        <f>N(4062552762)</f>
        <v>4062552762</v>
      </c>
    </row>
    <row r="50" spans="1:11" ht="12.75">
      <c r="A50" s="1" t="s">
        <v>11</v>
      </c>
      <c r="B50" t="str">
        <f>T("MT920 DIV OF RESOURCES")</f>
        <v>MT920 DIV OF RESOURCES</v>
      </c>
      <c r="C50" t="str">
        <f>T("5001 SOUTHGATE DRIVE")</f>
        <v>5001 SOUTHGATE DRIVE</v>
      </c>
      <c r="D50" t="str">
        <f>T("P.O.BOX 36800")</f>
        <v>P.O.BOX 36800</v>
      </c>
      <c r="E50" t="s">
        <v>0</v>
      </c>
      <c r="F50" t="s">
        <v>0</v>
      </c>
      <c r="G50" t="str">
        <f>T("BILLINGS")</f>
        <v>BILLINGS</v>
      </c>
      <c r="H50" t="str">
        <f t="shared" si="15"/>
        <v>MT </v>
      </c>
      <c r="I50" s="1">
        <f>N(591076800)</f>
        <v>591076800</v>
      </c>
      <c r="J50" s="1">
        <f>N(9)</f>
        <v>9</v>
      </c>
      <c r="K50" s="1">
        <f>N(4062552762)</f>
        <v>4062552762</v>
      </c>
    </row>
    <row r="51" spans="1:11" ht="12.75">
      <c r="A51" s="1" t="s">
        <v>11</v>
      </c>
      <c r="B51" t="str">
        <f>T("NM010 ALBUQUERQUE FIELD OFC")</f>
        <v>NM010 ALBUQUERQUE FIELD OFC</v>
      </c>
      <c r="C51" t="str">
        <f>T("435 MONTANO NE")</f>
        <v>435 MONTANO NE</v>
      </c>
      <c r="D51" t="str">
        <f>T("ATTN: MILLIE CHAPIN")</f>
        <v>ATTN: MILLIE CHAPIN</v>
      </c>
      <c r="E51" t="s">
        <v>0</v>
      </c>
      <c r="F51" t="s">
        <v>0</v>
      </c>
      <c r="G51" t="str">
        <f>T("ALBUQUERQUE")</f>
        <v>ALBUQUERQUE</v>
      </c>
      <c r="H51" t="str">
        <f>T("NM ")</f>
        <v>NM </v>
      </c>
      <c r="I51" s="1">
        <f>N(87107)</f>
        <v>87107</v>
      </c>
      <c r="J51" s="1">
        <f>N(5057618911)</f>
        <v>5057618911</v>
      </c>
      <c r="K51" s="1">
        <f>N(5057618715)</f>
        <v>5057618715</v>
      </c>
    </row>
    <row r="52" spans="1:11" ht="12.75">
      <c r="A52" s="1" t="s">
        <v>11</v>
      </c>
      <c r="B52" t="str">
        <f>T("NM020 TAOS FIELD OFC")</f>
        <v>NM020 TAOS FIELD OFC</v>
      </c>
      <c r="C52" t="str">
        <f>T("226 CRUZ ALTA RD.")</f>
        <v>226 CRUZ ALTA RD.</v>
      </c>
      <c r="D52" t="str">
        <f>T("ATTN: JEANETTE MARTINEZ")</f>
        <v>ATTN: JEANETTE MARTINEZ</v>
      </c>
      <c r="E52" t="s">
        <v>0</v>
      </c>
      <c r="F52" t="s">
        <v>0</v>
      </c>
      <c r="G52" t="str">
        <f>T("TAOS")</f>
        <v>TAOS</v>
      </c>
      <c r="H52" t="str">
        <f>T("NM ")</f>
        <v>NM </v>
      </c>
      <c r="I52" s="1">
        <f>N(87571)</f>
        <v>87571</v>
      </c>
      <c r="J52" s="1">
        <f>N(5057514701)</f>
        <v>5057514701</v>
      </c>
      <c r="K52" s="1">
        <f>N(5057581620)</f>
        <v>5057581620</v>
      </c>
    </row>
    <row r="53" spans="1:11" ht="12.75">
      <c r="A53" s="1" t="s">
        <v>11</v>
      </c>
      <c r="B53" t="str">
        <f>T("NM030 LAS CRUCES FIELD OFC")</f>
        <v>NM030 LAS CRUCES FIELD OFC</v>
      </c>
      <c r="C53" t="str">
        <f>T("1800 MARQUESS ST")</f>
        <v>1800 MARQUESS ST</v>
      </c>
      <c r="D53" t="str">
        <f>T("ATTN: BEATRICE MELENDREZ")</f>
        <v>ATTN: BEATRICE MELENDREZ</v>
      </c>
      <c r="E53" t="s">
        <v>0</v>
      </c>
      <c r="F53" t="s">
        <v>0</v>
      </c>
      <c r="G53" t="str">
        <f>T("LAS CRUCES")</f>
        <v>LAS CRUCES</v>
      </c>
      <c r="H53" t="str">
        <f>T("NM ")</f>
        <v>NM </v>
      </c>
      <c r="I53" s="1">
        <f>N(88005)</f>
        <v>88005</v>
      </c>
      <c r="J53" s="1">
        <f>N(5055254368)</f>
        <v>5055254368</v>
      </c>
      <c r="K53" s="1">
        <f>N(5055254412)</f>
        <v>5055254412</v>
      </c>
    </row>
    <row r="54" spans="1:11" ht="12.75">
      <c r="A54" s="1" t="s">
        <v>11</v>
      </c>
      <c r="B54" t="str">
        <f>T("NM040 OKLAHOMA FIELD OFFICE")</f>
        <v>NM040 OKLAHOMA FIELD OFFICE</v>
      </c>
      <c r="C54" t="str">
        <f>T("7906 E. 33 ST.")</f>
        <v>7906 E. 33 ST.</v>
      </c>
      <c r="D54" t="str">
        <f>T("SUITE 101")</f>
        <v>SUITE 101</v>
      </c>
      <c r="E54" t="str">
        <f>T("ATTN: JANIE WARD")</f>
        <v>ATTN: JANIE WARD</v>
      </c>
      <c r="F54" t="s">
        <v>0</v>
      </c>
      <c r="G54" t="str">
        <f>T("TULSA")</f>
        <v>TULSA</v>
      </c>
      <c r="H54" t="str">
        <f>T("OK ")</f>
        <v>OK </v>
      </c>
      <c r="I54" s="1">
        <f>N(74145)</f>
        <v>74145</v>
      </c>
      <c r="J54" s="1">
        <f>N(9166214158)</f>
        <v>9166214158</v>
      </c>
      <c r="K54" s="1">
        <f>N(9186214130)</f>
        <v>9186214130</v>
      </c>
    </row>
    <row r="55" spans="1:11" ht="12.75">
      <c r="A55" s="1" t="s">
        <v>11</v>
      </c>
      <c r="B55" t="str">
        <f>T("NM050 SOCORRO FIELD OFC")</f>
        <v>NM050 SOCORRO FIELD OFC</v>
      </c>
      <c r="C55" t="str">
        <f>T("198 NEEL AVE  NW")</f>
        <v>198 NEEL AVE  NW</v>
      </c>
      <c r="D55" t="str">
        <f>T("ATTN: KATHY GONZALES")</f>
        <v>ATTN: KATHY GONZALES</v>
      </c>
      <c r="E55" t="s">
        <v>0</v>
      </c>
      <c r="F55" t="s">
        <v>0</v>
      </c>
      <c r="G55" t="str">
        <f>T("SOCORRO")</f>
        <v>SOCORRO</v>
      </c>
      <c r="H55" t="str">
        <f>T("NM ")</f>
        <v>NM </v>
      </c>
      <c r="I55" s="1">
        <f>N(87801)</f>
        <v>87801</v>
      </c>
      <c r="J55" s="1">
        <f>N(5058350412)</f>
        <v>5058350412</v>
      </c>
      <c r="K55" s="1">
        <f>N(5058350223)</f>
        <v>5058350223</v>
      </c>
    </row>
    <row r="56" spans="1:11" ht="12.75">
      <c r="A56" s="1" t="s">
        <v>11</v>
      </c>
      <c r="B56" t="str">
        <f>T("NM060 ROSWELL FIELD OFC")</f>
        <v>NM060 ROSWELL FIELD OFC</v>
      </c>
      <c r="C56" t="str">
        <f>T("2909 WEST SECOND ST.")</f>
        <v>2909 WEST SECOND ST.</v>
      </c>
      <c r="D56" t="str">
        <f>T("ATTN: SCHARLETT WILLIAMS")</f>
        <v>ATTN: SCHARLETT WILLIAMS</v>
      </c>
      <c r="E56" t="s">
        <v>0</v>
      </c>
      <c r="F56" t="s">
        <v>0</v>
      </c>
      <c r="G56" t="str">
        <f>T("ROSWELL")</f>
        <v>ROSWELL</v>
      </c>
      <c r="H56" t="str">
        <f>T("NM ")</f>
        <v>NM </v>
      </c>
      <c r="I56" s="1">
        <f>N(88201)</f>
        <v>88201</v>
      </c>
      <c r="J56" s="1">
        <f>N(5056270280)</f>
        <v>5056270280</v>
      </c>
      <c r="K56" s="1">
        <f>N(5056270276)</f>
        <v>5056270276</v>
      </c>
    </row>
    <row r="57" spans="1:11" ht="12.75">
      <c r="A57" s="1" t="s">
        <v>11</v>
      </c>
      <c r="B57" t="str">
        <f>T("AZ910 ARIZONA STATE OFC  BLM")</f>
        <v>AZ910 ARIZONA STATE OFC  BLM</v>
      </c>
      <c r="C57" t="str">
        <f>T("222 N. CENTRAL AVENUE")</f>
        <v>222 N. CENTRAL AVENUE</v>
      </c>
      <c r="D57" t="str">
        <f>T("ATTN:  JANELL REIFEL")</f>
        <v>ATTN:  JANELL REIFEL</v>
      </c>
      <c r="E57" t="s">
        <v>0</v>
      </c>
      <c r="F57" t="s">
        <v>0</v>
      </c>
      <c r="G57" t="str">
        <f>T("PHOENIX")</f>
        <v>PHOENIX</v>
      </c>
      <c r="H57" t="str">
        <f>T("AZ ")</f>
        <v>AZ </v>
      </c>
      <c r="I57" s="1">
        <f>N(850042203)</f>
        <v>850042203</v>
      </c>
      <c r="J57" s="1">
        <f>N(6024179266)</f>
        <v>6024179266</v>
      </c>
      <c r="K57" s="1">
        <f>N(6024179462)</f>
        <v>6024179462</v>
      </c>
    </row>
    <row r="58" spans="1:11" ht="12.75">
      <c r="A58" s="1" t="s">
        <v>11</v>
      </c>
      <c r="B58" t="str">
        <f>T("FA100 OFC OF FIRE &amp; AVIATION")</f>
        <v>FA100 OFC OF FIRE &amp; AVIATION</v>
      </c>
      <c r="C58" t="str">
        <f>T("3833 S DEVELOPMENT AVE")</f>
        <v>3833 S DEVELOPMENT AVE</v>
      </c>
      <c r="D58" t="str">
        <f>T("ATTN: PROCUREMENT OFFICE")</f>
        <v>ATTN: PROCUREMENT OFFICE</v>
      </c>
      <c r="E58" t="s">
        <v>0</v>
      </c>
      <c r="F58" t="s">
        <v>0</v>
      </c>
      <c r="G58" t="str">
        <f>T("BOISE")</f>
        <v>BOISE</v>
      </c>
      <c r="H58" t="str">
        <f>T("ID ")</f>
        <v>ID </v>
      </c>
      <c r="I58" s="1">
        <f>N(837055354)</f>
        <v>837055354</v>
      </c>
      <c r="J58" s="1">
        <f>N(2083875509)</f>
        <v>2083875509</v>
      </c>
      <c r="K58" s="1">
        <f>N(2083875574)</f>
        <v>2083875574</v>
      </c>
    </row>
    <row r="59" spans="1:11" ht="12.75">
      <c r="A59" s="1" t="s">
        <v>11</v>
      </c>
      <c r="B59" t="str">
        <f>T("NM910 NEW MEXICO STATE OFC")</f>
        <v>NM910 NEW MEXICO STATE OFC</v>
      </c>
      <c r="C59" t="str">
        <f>T("1474 RODEO ROAD")</f>
        <v>1474 RODEO ROAD</v>
      </c>
      <c r="D59" t="str">
        <f>T("ATTN: DARLENE ORTIZ")</f>
        <v>ATTN: DARLENE ORTIZ</v>
      </c>
      <c r="E59" t="s">
        <v>0</v>
      </c>
      <c r="F59" t="s">
        <v>0</v>
      </c>
      <c r="G59" t="str">
        <f>T("SANTA FE")</f>
        <v>SANTA FE</v>
      </c>
      <c r="H59" t="str">
        <f>T("NM ")</f>
        <v>NM </v>
      </c>
      <c r="I59" s="1">
        <f>N(87505)</f>
        <v>87505</v>
      </c>
      <c r="J59" s="1">
        <f>N(5054387630)</f>
        <v>5054387630</v>
      </c>
      <c r="K59" s="1">
        <f>N(5054387435)</f>
        <v>5054387435</v>
      </c>
    </row>
    <row r="60" spans="1:11" ht="12.75">
      <c r="A60" s="1" t="s">
        <v>11</v>
      </c>
      <c r="B60" t="str">
        <f>T("NV910 NEVADA STATE OFC  BLM")</f>
        <v>NV910 NEVADA STATE OFC  BLM</v>
      </c>
      <c r="C60" t="str">
        <f>T("1340 Financial Blvd")</f>
        <v>1340 Financial Blvd</v>
      </c>
      <c r="D60" t="str">
        <f>T("PO BOX 12000")</f>
        <v>PO BOX 12000</v>
      </c>
      <c r="E60" t="s">
        <v>0</v>
      </c>
      <c r="F60" t="str">
        <f>T("Attn: Vicki Lirette")</f>
        <v>Attn: Vicki Lirette</v>
      </c>
      <c r="G60" t="str">
        <f>T("Reno")</f>
        <v>Reno</v>
      </c>
      <c r="H60" t="str">
        <f>T("NV ")</f>
        <v>NV </v>
      </c>
      <c r="I60" s="1" t="str">
        <f>T("89520-0006")</f>
        <v>89520-0006</v>
      </c>
      <c r="J60" s="1" t="str">
        <f>T("775-861-6402")</f>
        <v>775-861-6402</v>
      </c>
      <c r="K60" s="1" t="str">
        <f>T("775-861-6634 19")</f>
        <v>775-861-6634 19</v>
      </c>
    </row>
    <row r="61" spans="1:11" ht="12.75">
      <c r="A61" s="1" t="s">
        <v>11</v>
      </c>
      <c r="B61" t="str">
        <f>T("OR910 BLM OREGON STATE OFFICE")</f>
        <v>OR910 BLM OREGON STATE OFFICE</v>
      </c>
      <c r="C61" t="str">
        <f>T("P. O. BOX 2965")</f>
        <v>P. O. BOX 2965</v>
      </c>
      <c r="D61" t="s">
        <v>0</v>
      </c>
      <c r="E61" t="s">
        <v>0</v>
      </c>
      <c r="F61" t="s">
        <v>0</v>
      </c>
      <c r="G61" t="str">
        <f>T("PORTLAND")</f>
        <v>PORTLAND</v>
      </c>
      <c r="H61" t="str">
        <f>T("OR ")</f>
        <v>OR </v>
      </c>
      <c r="I61" s="1">
        <f>N(97208)</f>
        <v>97208</v>
      </c>
      <c r="J61" s="1">
        <f>N(5038086220)</f>
        <v>5038086220</v>
      </c>
      <c r="K61" s="1">
        <f>N(5038086312)</f>
        <v>5038086312</v>
      </c>
    </row>
    <row r="62" spans="1:11" ht="12.75">
      <c r="A62" s="1" t="s">
        <v>11</v>
      </c>
      <c r="B62" t="str">
        <f>T("WY910 WYOMING STATE OFC  BLM")</f>
        <v>WY910 WYOMING STATE OFC  BLM</v>
      </c>
      <c r="C62" t="str">
        <f>T("5353 YELLOWSTONE ROAD")</f>
        <v>5353 YELLOWSTONE ROAD</v>
      </c>
      <c r="D62" t="str">
        <f>T("ATTN SUSAN NAGEL")</f>
        <v>ATTN SUSAN NAGEL</v>
      </c>
      <c r="E62" t="s">
        <v>0</v>
      </c>
      <c r="F62" t="s">
        <v>0</v>
      </c>
      <c r="G62" t="str">
        <f>T("CHEYENNE")</f>
        <v>CHEYENNE</v>
      </c>
      <c r="H62" t="str">
        <f>T("WY ")</f>
        <v>WY </v>
      </c>
      <c r="I62" s="1">
        <f>N(82009)</f>
        <v>82009</v>
      </c>
      <c r="J62" s="1">
        <f>N(3077756056)</f>
        <v>3077756056</v>
      </c>
      <c r="K62" s="1">
        <f>N(3077756317)</f>
        <v>3077756317</v>
      </c>
    </row>
    <row r="63" spans="1:11" ht="12.75">
      <c r="A63" s="1" t="s">
        <v>11</v>
      </c>
      <c r="B63" t="str">
        <f>T("AZ910 AZ STATE OFC  BLM")</f>
        <v>AZ910 AZ STATE OFC  BLM</v>
      </c>
      <c r="C63" t="str">
        <f>T("222 N. CENTRAL AVENUE")</f>
        <v>222 N. CENTRAL AVENUE</v>
      </c>
      <c r="D63" t="str">
        <f>T("ATTN:  ANDREA HUELSENBECK")</f>
        <v>ATTN:  ANDREA HUELSENBECK</v>
      </c>
      <c r="E63" t="s">
        <v>0</v>
      </c>
      <c r="F63" t="s">
        <v>0</v>
      </c>
      <c r="G63" t="str">
        <f>T("PHOENIX")</f>
        <v>PHOENIX</v>
      </c>
      <c r="H63" t="str">
        <f>T("AZ ")</f>
        <v>AZ </v>
      </c>
      <c r="I63" s="1">
        <f>N(850042203)</f>
        <v>850042203</v>
      </c>
      <c r="J63" s="1">
        <f>N(6024179266)</f>
        <v>6024179266</v>
      </c>
      <c r="K63" s="1">
        <f>N(6024179462)</f>
        <v>6024179462</v>
      </c>
    </row>
    <row r="64" spans="1:11" ht="12.75">
      <c r="A64" s="1" t="s">
        <v>11</v>
      </c>
      <c r="B64" t="str">
        <f>T("CA910 CALIFORNIA ST OFC  BLM")</f>
        <v>CA910 CALIFORNIA ST OFC  BLM</v>
      </c>
      <c r="C64" t="str">
        <f>T("BUREAU OF LAND MANAGEMENT")</f>
        <v>BUREAU OF LAND MANAGEMENT</v>
      </c>
      <c r="D64" t="str">
        <f>T("2800 COTTAGE WAY  RM W 1834")</f>
        <v>2800 COTTAGE WAY  RM W 1834</v>
      </c>
      <c r="E64" t="str">
        <f>T("ATTN: SANDY FOX")</f>
        <v>ATTN: SANDY FOX</v>
      </c>
      <c r="F64" t="s">
        <v>0</v>
      </c>
      <c r="G64" t="str">
        <f>T("SACRAMENTO")</f>
        <v>SACRAMENTO</v>
      </c>
      <c r="H64" t="str">
        <f>T("CA ")</f>
        <v>CA </v>
      </c>
      <c r="I64" s="1">
        <f>N(95825)</f>
        <v>95825</v>
      </c>
      <c r="J64" s="1">
        <f>N(9169784523)</f>
        <v>9169784523</v>
      </c>
      <c r="K64" s="1">
        <f>N(9169784444)</f>
        <v>9169784444</v>
      </c>
    </row>
    <row r="65" spans="1:11" ht="12.75">
      <c r="A65" s="1" t="s">
        <v>11</v>
      </c>
      <c r="B65" t="str">
        <f>T("CO910 BLM COLORADO")</f>
        <v>CO910 BLM COLORADO</v>
      </c>
      <c r="C65" t="str">
        <f>T("2850 YOUNGFIELD ST")</f>
        <v>2850 YOUNGFIELD ST</v>
      </c>
      <c r="D65" t="str">
        <f>T("ATTN: FRANK GUTIERREZ")</f>
        <v>ATTN: FRANK GUTIERREZ</v>
      </c>
      <c r="E65" t="s">
        <v>0</v>
      </c>
      <c r="F65" t="s">
        <v>0</v>
      </c>
      <c r="G65" t="str">
        <f>T("LAKEWOOD")</f>
        <v>LAKEWOOD</v>
      </c>
      <c r="H65" t="str">
        <f>T("CO ")</f>
        <v>CO </v>
      </c>
      <c r="I65" s="1">
        <f>N(802157076)</f>
        <v>802157076</v>
      </c>
      <c r="J65" s="1">
        <f>N(3032393637)</f>
        <v>3032393637</v>
      </c>
      <c r="K65" s="1">
        <f>N(3032393933)</f>
        <v>3032393933</v>
      </c>
    </row>
    <row r="66" spans="1:11" ht="12.75">
      <c r="A66" s="1" t="s">
        <v>11</v>
      </c>
      <c r="B66" t="str">
        <f>T("ES910 EASTERN STATES OFC BLM")</f>
        <v>ES910 EASTERN STATES OFC BLM</v>
      </c>
      <c r="C66" t="str">
        <f>T("7450 BOSTON BLVD")</f>
        <v>7450 BOSTON BLVD</v>
      </c>
      <c r="D66" t="str">
        <f>T("ATTN: TONY MAYFIELD")</f>
        <v>ATTN: TONY MAYFIELD</v>
      </c>
      <c r="E66" t="s">
        <v>0</v>
      </c>
      <c r="F66" t="s">
        <v>0</v>
      </c>
      <c r="G66" t="str">
        <f>T("SPRINGFIELD")</f>
        <v>SPRINGFIELD</v>
      </c>
      <c r="H66" t="str">
        <f>T("VA ")</f>
        <v>VA </v>
      </c>
      <c r="I66" s="1">
        <f>N(22153)</f>
        <v>22153</v>
      </c>
      <c r="J66" s="1">
        <f>N(7034401588)</f>
        <v>7034401588</v>
      </c>
      <c r="K66" s="1">
        <f>N(7034401599)</f>
        <v>7034401599</v>
      </c>
    </row>
    <row r="67" spans="1:11" ht="12.75">
      <c r="A67" s="1" t="s">
        <v>11</v>
      </c>
      <c r="B67" t="str">
        <f>T("FA100 OFC OF FIRE &amp; AV NIFC")</f>
        <v>FA100 OFC OF FIRE &amp; AV NIFC</v>
      </c>
      <c r="C67" t="str">
        <f>T("BLM OFFICE OF FIRE &amp; AVIATION")</f>
        <v>BLM OFFICE OF FIRE &amp; AVIATION</v>
      </c>
      <c r="D67" t="str">
        <f>T("3833 S. DEVELOPMENT AVE.")</f>
        <v>3833 S. DEVELOPMENT AVE.</v>
      </c>
      <c r="E67" t="str">
        <f>T("ATTN: SUPP SVCS STAFF ASST")</f>
        <v>ATTN: SUPP SVCS STAFF ASST</v>
      </c>
      <c r="F67" t="s">
        <v>0</v>
      </c>
      <c r="G67" t="str">
        <f>T("BOISE")</f>
        <v>BOISE</v>
      </c>
      <c r="H67" t="str">
        <f>T("ID ")</f>
        <v>ID </v>
      </c>
      <c r="I67" s="1">
        <f>N(837055354)</f>
        <v>837055354</v>
      </c>
      <c r="J67" s="1">
        <f>N(2083875510)</f>
        <v>2083875510</v>
      </c>
      <c r="K67" s="1">
        <f>N(2083875376)</f>
        <v>2083875376</v>
      </c>
    </row>
    <row r="68" spans="1:11" ht="12.75">
      <c r="A68" s="1" t="s">
        <v>11</v>
      </c>
      <c r="B68" t="str">
        <f>T("MT910 MONTANA STATE OFC  BLM")</f>
        <v>MT910 MONTANA STATE OFC  BLM</v>
      </c>
      <c r="C68" t="str">
        <f>T("5001 SOUTHGATE DRIVE")</f>
        <v>5001 SOUTHGATE DRIVE</v>
      </c>
      <c r="D68" t="str">
        <f>T("P. O. BOX 36800")</f>
        <v>P. O. BOX 36800</v>
      </c>
      <c r="E68" t="s">
        <v>0</v>
      </c>
      <c r="F68" t="s">
        <v>0</v>
      </c>
      <c r="G68" t="str">
        <f>T("BILLINGS")</f>
        <v>BILLINGS</v>
      </c>
      <c r="H68" t="str">
        <f>T("MT ")</f>
        <v>MT </v>
      </c>
      <c r="I68" s="1">
        <f>N(591076800)</f>
        <v>591076800</v>
      </c>
      <c r="J68" s="1">
        <f>N(4065387461)</f>
        <v>4065387461</v>
      </c>
      <c r="K68" s="1">
        <f>N(4068965020)</f>
        <v>4068965020</v>
      </c>
    </row>
    <row r="69" spans="1:11" ht="12.75">
      <c r="A69" s="1" t="s">
        <v>11</v>
      </c>
      <c r="B69" t="str">
        <f>T("NM910 NEW MEXICO ST OFC  BLM")</f>
        <v>NM910 NEW MEXICO ST OFC  BLM</v>
      </c>
      <c r="C69" t="str">
        <f>T("1474 RODEO ROAD")</f>
        <v>1474 RODEO ROAD</v>
      </c>
      <c r="D69" t="str">
        <f>T("ATTN: DARLENE ORTIZ")</f>
        <v>ATTN: DARLENE ORTIZ</v>
      </c>
      <c r="E69" t="s">
        <v>0</v>
      </c>
      <c r="F69" t="s">
        <v>0</v>
      </c>
      <c r="G69" t="str">
        <f>T("SANTA FE")</f>
        <v>SANTA FE</v>
      </c>
      <c r="H69" t="str">
        <f>T("NM ")</f>
        <v>NM </v>
      </c>
      <c r="I69" s="1">
        <f>N(87505)</f>
        <v>87505</v>
      </c>
      <c r="J69" s="1">
        <f>N(5054387630)</f>
        <v>5054387630</v>
      </c>
      <c r="K69" s="1">
        <f>N(5054387435)</f>
        <v>5054387435</v>
      </c>
    </row>
    <row r="70" spans="1:11" ht="12.75">
      <c r="A70" s="1" t="s">
        <v>11</v>
      </c>
      <c r="B70" t="str">
        <f>T("NV910 NEVADA STATE OFC  BLM")</f>
        <v>NV910 NEVADA STATE OFC  BLM</v>
      </c>
      <c r="C70" t="str">
        <f>T("1340 FINANCIAL BLVD")</f>
        <v>1340 FINANCIAL BLVD</v>
      </c>
      <c r="D70" t="str">
        <f>T("PO BOX 12000")</f>
        <v>PO BOX 12000</v>
      </c>
      <c r="E70" t="str">
        <f>T("ATTN: GAIL SIMS")</f>
        <v>ATTN: GAIL SIMS</v>
      </c>
      <c r="F70" t="s">
        <v>0</v>
      </c>
      <c r="G70" t="str">
        <f>T("RENO")</f>
        <v>RENO</v>
      </c>
      <c r="H70" t="str">
        <f>T("NV ")</f>
        <v>NV </v>
      </c>
      <c r="I70" s="1">
        <f>N(895200006)</f>
        <v>895200006</v>
      </c>
      <c r="J70" s="1">
        <f>N(7758616406)</f>
        <v>7758616406</v>
      </c>
      <c r="K70" s="1">
        <f>N(7758616634)</f>
        <v>7758616634</v>
      </c>
    </row>
    <row r="71" spans="1:11" ht="12.75">
      <c r="A71" s="1" t="s">
        <v>11</v>
      </c>
      <c r="B71" t="str">
        <f>T("OR910 OREGON STATE OFC  BLM")</f>
        <v>OR910 OREGON STATE OFC  BLM</v>
      </c>
      <c r="C71" t="str">
        <f>T("PO BOX 2965")</f>
        <v>PO BOX 2965</v>
      </c>
      <c r="D71" t="s">
        <v>0</v>
      </c>
      <c r="E71" t="s">
        <v>0</v>
      </c>
      <c r="F71" t="s">
        <v>0</v>
      </c>
      <c r="G71" t="str">
        <f>T("Portland")</f>
        <v>Portland</v>
      </c>
      <c r="H71" t="str">
        <f>T("OR ")</f>
        <v>OR </v>
      </c>
      <c r="I71" s="1">
        <f>N(97208)</f>
        <v>97208</v>
      </c>
      <c r="J71" s="1" t="str">
        <f>T("503-952-6414")</f>
        <v>503-952-6414</v>
      </c>
      <c r="K71" s="1" t="str">
        <f>T("503-952-6308")</f>
        <v>503-952-6308</v>
      </c>
    </row>
    <row r="72" spans="1:11" ht="12.75">
      <c r="A72" s="1" t="s">
        <v>11</v>
      </c>
      <c r="B72" t="str">
        <f>T("UT910 UTAH STATE OFC  BLM")</f>
        <v>UT910 UTAH STATE OFC  BLM</v>
      </c>
      <c r="C72" t="str">
        <f>T("BUREAU OF LAND MANAGEMENT")</f>
        <v>BUREAU OF LAND MANAGEMENT</v>
      </c>
      <c r="D72" t="str">
        <f>T("UTAH STATE OFFICE")</f>
        <v>UTAH STATE OFFICE</v>
      </c>
      <c r="E72" t="str">
        <f>T("P.O. BOX 45155")</f>
        <v>P.O. BOX 45155</v>
      </c>
      <c r="F72" t="str">
        <f>T("ATTN: CASSIE COWLEY")</f>
        <v>ATTN: CASSIE COWLEY</v>
      </c>
      <c r="G72" t="str">
        <f>T("SALT LAKE CITY")</f>
        <v>SALT LAKE CITY</v>
      </c>
      <c r="H72" t="str">
        <f>T("UT ")</f>
        <v>UT </v>
      </c>
      <c r="I72" s="1">
        <f>N(841450155)</f>
        <v>841450155</v>
      </c>
      <c r="J72" s="1">
        <f>N(8015394170)</f>
        <v>8015394170</v>
      </c>
      <c r="K72" s="1">
        <f>N(8015394222)</f>
        <v>8015394222</v>
      </c>
    </row>
    <row r="73" spans="1:11" ht="12.75">
      <c r="A73" s="1" t="s">
        <v>11</v>
      </c>
      <c r="B73" t="str">
        <f>T("WO100 WASHINGTON OFC  BLM")</f>
        <v>WO100 WASHINGTON OFC  BLM</v>
      </c>
      <c r="C73" t="str">
        <f>T("BUREAU OF LAND MANAGEMENT")</f>
        <v>BUREAU OF LAND MANAGEMENT</v>
      </c>
      <c r="D73" t="str">
        <f>T("1849 C STREET NW ROOM 1075 LS")</f>
        <v>1849 C STREET NW ROOM 1075 LS</v>
      </c>
      <c r="E73" t="str">
        <f>T("ATTN: SANDY ANDOLSUN")</f>
        <v>ATTN: SANDY ANDOLSUN</v>
      </c>
      <c r="F73" t="s">
        <v>0</v>
      </c>
      <c r="G73" t="str">
        <f>T("WASHINGTON")</f>
        <v>WASHINGTON</v>
      </c>
      <c r="H73" t="str">
        <f>T("DC ")</f>
        <v>DC </v>
      </c>
      <c r="I73" s="1">
        <f>N(20240)</f>
        <v>20240</v>
      </c>
      <c r="J73" s="1">
        <f>N(2024525186)</f>
        <v>2024525186</v>
      </c>
      <c r="K73" s="1">
        <f>N(2024525141)</f>
        <v>2024525141</v>
      </c>
    </row>
    <row r="74" spans="1:11" ht="12.75">
      <c r="A74" s="1" t="s">
        <v>11</v>
      </c>
      <c r="B74" t="str">
        <f>T("NM070 FARMINGTON FIELD OFC")</f>
        <v>NM070 FARMINGTON FIELD OFC</v>
      </c>
      <c r="C74" t="str">
        <f>T("1235 LA PLATA HWY.")</f>
        <v>1235 LA PLATA HWY.</v>
      </c>
      <c r="D74" t="str">
        <f>T("SUITE A")</f>
        <v>SUITE A</v>
      </c>
      <c r="E74" t="str">
        <f>T("ATTN: MARGIE DUPRE")</f>
        <v>ATTN: MARGIE DUPRE</v>
      </c>
      <c r="F74" t="s">
        <v>0</v>
      </c>
      <c r="G74" t="str">
        <f>T("FARMINGTON")</f>
        <v>FARMINGTON</v>
      </c>
      <c r="H74" t="str">
        <f>T("NM ")</f>
        <v>NM </v>
      </c>
      <c r="I74" s="1">
        <f>N(87401)</f>
        <v>87401</v>
      </c>
      <c r="J74" s="1">
        <f>N(5055996352)</f>
        <v>5055996352</v>
      </c>
      <c r="K74" s="1">
        <f>N(5055998998)</f>
        <v>5055998998</v>
      </c>
    </row>
    <row r="75" spans="1:11" ht="12.75">
      <c r="A75" s="1" t="s">
        <v>11</v>
      </c>
      <c r="B75" t="str">
        <f>T("NM080 CARLSBAD FIELD OFC")</f>
        <v>NM080 CARLSBAD FIELD OFC</v>
      </c>
      <c r="C75" t="str">
        <f>T("620 E. GREENE ST.")</f>
        <v>620 E. GREENE ST.</v>
      </c>
      <c r="D75" t="str">
        <f>T("ATTN: NANCY PAINTER")</f>
        <v>ATTN: NANCY PAINTER</v>
      </c>
      <c r="E75" t="s">
        <v>0</v>
      </c>
      <c r="F75" t="s">
        <v>0</v>
      </c>
      <c r="G75" t="str">
        <f>T("CARLSBAD")</f>
        <v>CARLSBAD</v>
      </c>
      <c r="H75" t="str">
        <f>T("NM ")</f>
        <v>NM </v>
      </c>
      <c r="I75" s="1">
        <f>N(88220)</f>
        <v>88220</v>
      </c>
      <c r="J75" s="1">
        <f>N(5052345905)</f>
        <v>5052345905</v>
      </c>
      <c r="K75" s="1">
        <f>N(5058859264)</f>
        <v>5058859264</v>
      </c>
    </row>
    <row r="76" spans="1:11" ht="12.75">
      <c r="A76" s="1" t="s">
        <v>11</v>
      </c>
      <c r="B76" t="str">
        <f>T("NM090 AMARILLO FIELD OFC")</f>
        <v>NM090 AMARILLO FIELD OFC</v>
      </c>
      <c r="C76" t="str">
        <f>T("801 S. FILLMORE ST.")</f>
        <v>801 S. FILLMORE ST.</v>
      </c>
      <c r="D76" t="str">
        <f>T("SUITE 500")</f>
        <v>SUITE 500</v>
      </c>
      <c r="E76" t="str">
        <f>T("ATTN: CATARINA GALLARDO")</f>
        <v>ATTN: CATARINA GALLARDO</v>
      </c>
      <c r="F76" t="s">
        <v>0</v>
      </c>
      <c r="G76" t="str">
        <f>T("AMARILLO")</f>
        <v>AMARILLO</v>
      </c>
      <c r="H76" t="str">
        <f>T("TX ")</f>
        <v>TX </v>
      </c>
      <c r="I76" s="1">
        <f>N(79101)</f>
        <v>79101</v>
      </c>
      <c r="J76" s="1">
        <f>N(8063242684)</f>
        <v>8063242684</v>
      </c>
      <c r="K76" s="1">
        <f>N(8063242633)</f>
        <v>8063242633</v>
      </c>
    </row>
    <row r="77" spans="1:11" ht="12.75">
      <c r="A77" s="1" t="s">
        <v>11</v>
      </c>
      <c r="B77" t="str">
        <f>T("NM910 OFC OF STATE DIRECTOR")</f>
        <v>NM910 OFC OF STATE DIRECTOR</v>
      </c>
      <c r="C77" t="str">
        <f>T("P. O. BOX 27115")</f>
        <v>P. O. BOX 27115</v>
      </c>
      <c r="D77" t="str">
        <f>T("ATTN: CATHY VELARDE")</f>
        <v>ATTN: CATHY VELARDE</v>
      </c>
      <c r="E77" t="s">
        <v>0</v>
      </c>
      <c r="F77" t="s">
        <v>0</v>
      </c>
      <c r="G77" t="str">
        <f>T("SANTA FE")</f>
        <v>SANTA FE</v>
      </c>
      <c r="H77" t="str">
        <f>T("NM ")</f>
        <v>NM </v>
      </c>
      <c r="I77" s="1">
        <f>N(87502)</f>
        <v>87502</v>
      </c>
      <c r="J77" s="1">
        <f>N(5054387501)</f>
        <v>5054387501</v>
      </c>
      <c r="K77" s="1">
        <f>N(5054387452)</f>
        <v>5054387452</v>
      </c>
    </row>
    <row r="78" spans="1:11" ht="12.75">
      <c r="A78" s="1" t="s">
        <v>11</v>
      </c>
      <c r="B78" t="str">
        <f>T("NM930 RNEWAL RES  PLAN &amp; PRTCT")</f>
        <v>NM930 RNEWAL RES  PLAN &amp; PRTCT</v>
      </c>
      <c r="C78" t="str">
        <f>T("P. O. BOX 27115")</f>
        <v>P. O. BOX 27115</v>
      </c>
      <c r="D78" t="str">
        <f>T("ATTN: ARLENE SALAZAR")</f>
        <v>ATTN: ARLENE SALAZAR</v>
      </c>
      <c r="E78" t="s">
        <v>0</v>
      </c>
      <c r="F78" t="s">
        <v>0</v>
      </c>
      <c r="G78" t="str">
        <f>T("SANTA FE")</f>
        <v>SANTA FE</v>
      </c>
      <c r="H78" t="str">
        <f>T("NM ")</f>
        <v>NM </v>
      </c>
      <c r="I78" s="1">
        <f>N(87502)</f>
        <v>87502</v>
      </c>
      <c r="J78" s="1">
        <f>N(5057618772)</f>
        <v>5057618772</v>
      </c>
      <c r="K78" s="1">
        <f>N(5057618715)</f>
        <v>5057618715</v>
      </c>
    </row>
    <row r="79" spans="1:11" ht="12.75">
      <c r="A79" s="1" t="s">
        <v>11</v>
      </c>
      <c r="B79" t="str">
        <f>T("NM950 DIV OF BUS RESOURCES")</f>
        <v>NM950 DIV OF BUS RESOURCES</v>
      </c>
      <c r="C79" t="str">
        <f>T("P. O. BOX 27115")</f>
        <v>P. O. BOX 27115</v>
      </c>
      <c r="D79" t="str">
        <f>T("ATTN: DARLENE ORTIZ")</f>
        <v>ATTN: DARLENE ORTIZ</v>
      </c>
      <c r="E79" t="s">
        <v>0</v>
      </c>
      <c r="F79" t="s">
        <v>0</v>
      </c>
      <c r="G79" t="str">
        <f>T("SANTA FE")</f>
        <v>SANTA FE</v>
      </c>
      <c r="H79" t="str">
        <f>T("NM ")</f>
        <v>NM </v>
      </c>
      <c r="I79" s="1">
        <f>N(87502)</f>
        <v>87502</v>
      </c>
      <c r="J79" s="1">
        <f>N(5054387630)</f>
        <v>5054387630</v>
      </c>
      <c r="K79" s="1">
        <f>N(5054387435)</f>
        <v>5054387435</v>
      </c>
    </row>
    <row r="80" spans="1:11" ht="12.75">
      <c r="A80" s="1" t="s">
        <v>11</v>
      </c>
      <c r="B80" t="str">
        <f>T("NV010 ELKO FIELD OFC")</f>
        <v>NV010 ELKO FIELD OFC</v>
      </c>
      <c r="C80" t="str">
        <f>T("3900 E. Idaho St.")</f>
        <v>3900 E. Idaho St.</v>
      </c>
      <c r="D80" t="s">
        <v>0</v>
      </c>
      <c r="E80" t="s">
        <v>0</v>
      </c>
      <c r="F80" t="str">
        <f>T("Attn: Vicki Lirette")</f>
        <v>Attn: Vicki Lirette</v>
      </c>
      <c r="G80" t="str">
        <f>T("Elko")</f>
        <v>Elko</v>
      </c>
      <c r="H80" t="str">
        <f aca="true" t="shared" si="16" ref="H80:H89">T("NV ")</f>
        <v>NV </v>
      </c>
      <c r="I80" s="1">
        <f>N(89801)</f>
        <v>89801</v>
      </c>
      <c r="J80" s="1" t="str">
        <f>T("775-753-0200")</f>
        <v>775-753-0200</v>
      </c>
      <c r="K80" s="1" t="str">
        <f>T("775-753-0255")</f>
        <v>775-753-0255</v>
      </c>
    </row>
    <row r="81" spans="1:11" ht="12.75">
      <c r="A81" s="1" t="s">
        <v>11</v>
      </c>
      <c r="B81" t="str">
        <f>T("NV020 WINNEMUCCA FIELD OFC")</f>
        <v>NV020 WINNEMUCCA FIELD OFC</v>
      </c>
      <c r="C81" t="str">
        <f>T("5100 E. Winnemucca Blvd")</f>
        <v>5100 E. Winnemucca Blvd</v>
      </c>
      <c r="D81" t="s">
        <v>0</v>
      </c>
      <c r="E81" t="s">
        <v>0</v>
      </c>
      <c r="F81" t="str">
        <f>T("Attn: Vicki Lirette")</f>
        <v>Attn: Vicki Lirette</v>
      </c>
      <c r="G81" t="str">
        <f>T("Winnemucca")</f>
        <v>Winnemucca</v>
      </c>
      <c r="H81" t="str">
        <f t="shared" si="16"/>
        <v>NV </v>
      </c>
      <c r="I81" s="1">
        <f>N(89445)</f>
        <v>89445</v>
      </c>
      <c r="J81" s="1" t="str">
        <f>T("775-623-11500")</f>
        <v>775-623-11500</v>
      </c>
      <c r="K81" s="1" t="str">
        <f>T("775-623-1503")</f>
        <v>775-623-1503</v>
      </c>
    </row>
    <row r="82" spans="1:11" ht="12.75">
      <c r="A82" s="1" t="s">
        <v>11</v>
      </c>
      <c r="B82" t="str">
        <f>T("NV030 CARSON CITY FIELD OFC")</f>
        <v>NV030 CARSON CITY FIELD OFC</v>
      </c>
      <c r="C82" t="str">
        <f>T("5665 Morgan Mill Rd")</f>
        <v>5665 Morgan Mill Rd</v>
      </c>
      <c r="D82" t="s">
        <v>0</v>
      </c>
      <c r="E82" t="s">
        <v>0</v>
      </c>
      <c r="F82" t="str">
        <f>T("Attn: Vicki Lirette")</f>
        <v>Attn: Vicki Lirette</v>
      </c>
      <c r="G82" t="str">
        <f>T("Carson City")</f>
        <v>Carson City</v>
      </c>
      <c r="H82" t="str">
        <f t="shared" si="16"/>
        <v>NV </v>
      </c>
      <c r="I82" s="1">
        <f>N(89701)</f>
        <v>89701</v>
      </c>
      <c r="J82" s="1" t="str">
        <f>T("775-885-6000")</f>
        <v>775-885-6000</v>
      </c>
      <c r="K82" s="1" t="str">
        <f>T("775-885-6147")</f>
        <v>775-885-6147</v>
      </c>
    </row>
    <row r="83" spans="1:11" ht="12.75">
      <c r="A83" s="1" t="s">
        <v>11</v>
      </c>
      <c r="B83" t="str">
        <f>T("NV040 ELY FIELD OFC  HTHR-OPC")</f>
        <v>NV040 ELY FIELD OFC  HTHR-OPC</v>
      </c>
      <c r="C83" t="str">
        <f>T("702 N. Industrial Way")</f>
        <v>702 N. Industrial Way</v>
      </c>
      <c r="D83" t="s">
        <v>0</v>
      </c>
      <c r="E83" t="s">
        <v>0</v>
      </c>
      <c r="F83" t="str">
        <f>T("Attn: Vicki Lirette")</f>
        <v>Attn: Vicki Lirette</v>
      </c>
      <c r="G83" t="str">
        <f>T("Ely")</f>
        <v>Ely</v>
      </c>
      <c r="H83" t="str">
        <f t="shared" si="16"/>
        <v>NV </v>
      </c>
      <c r="I83" s="1" t="str">
        <f>T("89301-9408")</f>
        <v>89301-9408</v>
      </c>
      <c r="J83" s="1" t="str">
        <f>T("775-289-1800")</f>
        <v>775-289-1800</v>
      </c>
      <c r="K83" s="1" t="str">
        <f>T("775-289-1910")</f>
        <v>775-289-1910</v>
      </c>
    </row>
    <row r="84" spans="1:11" ht="12.75">
      <c r="A84" s="1" t="s">
        <v>11</v>
      </c>
      <c r="B84" t="str">
        <f>T("NV050 LAS VEGAS FIELD OFC")</f>
        <v>NV050 LAS VEGAS FIELD OFC</v>
      </c>
      <c r="C84" t="str">
        <f>T("4765 W. Vegas Drive")</f>
        <v>4765 W. Vegas Drive</v>
      </c>
      <c r="D84" t="s">
        <v>0</v>
      </c>
      <c r="E84" t="s">
        <v>0</v>
      </c>
      <c r="F84" t="str">
        <f>T("Attn: Vicki Lirette")</f>
        <v>Attn: Vicki Lirette</v>
      </c>
      <c r="G84" t="str">
        <f>T("Las Vegas")</f>
        <v>Las Vegas</v>
      </c>
      <c r="H84" t="str">
        <f t="shared" si="16"/>
        <v>NV </v>
      </c>
      <c r="I84" s="1">
        <f>N(89108)</f>
        <v>89108</v>
      </c>
      <c r="J84" s="1" t="str">
        <f>T("702-647-5000")</f>
        <v>702-647-5000</v>
      </c>
      <c r="K84" s="1" t="str">
        <f>T("702-647-5023")</f>
        <v>702-647-5023</v>
      </c>
    </row>
    <row r="85" spans="1:11" ht="12.75">
      <c r="A85" s="1" t="s">
        <v>11</v>
      </c>
      <c r="B85" t="str">
        <f>T("NV060 BATTLE MTN FIELD OFC")</f>
        <v>NV060 BATTLE MTN FIELD OFC</v>
      </c>
      <c r="C85" t="str">
        <f>T("50 Bastian Rd")</f>
        <v>50 Bastian Rd</v>
      </c>
      <c r="D85" t="s">
        <v>0</v>
      </c>
      <c r="E85" t="s">
        <v>0</v>
      </c>
      <c r="F85" t="str">
        <f>T("Attn:Vicki Lirette")</f>
        <v>Attn:Vicki Lirette</v>
      </c>
      <c r="G85" t="str">
        <f>T("Battle Mountain")</f>
        <v>Battle Mountain</v>
      </c>
      <c r="H85" t="str">
        <f t="shared" si="16"/>
        <v>NV </v>
      </c>
      <c r="I85" s="1" t="str">
        <f>T("89820-1420")</f>
        <v>89820-1420</v>
      </c>
      <c r="J85" s="1" t="str">
        <f>T("775-635-4000")</f>
        <v>775-635-4000</v>
      </c>
      <c r="K85" s="1" t="str">
        <f>T("775-635-4034")</f>
        <v>775-635-4034</v>
      </c>
    </row>
    <row r="86" spans="1:11" ht="12.75">
      <c r="A86" s="1" t="s">
        <v>11</v>
      </c>
      <c r="B86" t="str">
        <f>T("NV910 OFC OF STATE DIRECTOR")</f>
        <v>NV910 OFC OF STATE DIRECTOR</v>
      </c>
      <c r="C86" t="str">
        <f>T("P.O. Box 1200")</f>
        <v>P.O. Box 1200</v>
      </c>
      <c r="D86" t="s">
        <v>0</v>
      </c>
      <c r="E86" t="s">
        <v>0</v>
      </c>
      <c r="F86" t="str">
        <f>T("Attn: Vicki Lirette")</f>
        <v>Attn: Vicki Lirette</v>
      </c>
      <c r="G86" t="str">
        <f>T("Reno")</f>
        <v>Reno</v>
      </c>
      <c r="H86" t="str">
        <f t="shared" si="16"/>
        <v>NV </v>
      </c>
      <c r="I86" s="1">
        <f>N(89502)</f>
        <v>89502</v>
      </c>
      <c r="J86" s="1" t="str">
        <f>T("775-861-6402")</f>
        <v>775-861-6402</v>
      </c>
      <c r="K86" s="1" t="str">
        <f>T("775-861-6634")</f>
        <v>775-861-6634</v>
      </c>
    </row>
    <row r="87" spans="1:11" ht="12.75">
      <c r="A87" s="1" t="s">
        <v>11</v>
      </c>
      <c r="B87" t="str">
        <f>T("NV920 DIV OF MINERALS MGMT")</f>
        <v>NV920 DIV OF MINERALS MGMT</v>
      </c>
      <c r="C87" t="str">
        <f>T("P.O. Box 12000")</f>
        <v>P.O. Box 12000</v>
      </c>
      <c r="D87" t="s">
        <v>0</v>
      </c>
      <c r="E87" t="s">
        <v>0</v>
      </c>
      <c r="F87" t="str">
        <f>T("Attn: Vicki Lirette")</f>
        <v>Attn: Vicki Lirette</v>
      </c>
      <c r="G87" t="str">
        <f>T("Reno")</f>
        <v>Reno</v>
      </c>
      <c r="H87" t="str">
        <f t="shared" si="16"/>
        <v>NV </v>
      </c>
      <c r="I87" s="1">
        <f>N(89502)</f>
        <v>89502</v>
      </c>
      <c r="J87" s="1" t="str">
        <f>T("775-861-6402")</f>
        <v>775-861-6402</v>
      </c>
      <c r="K87" s="1" t="str">
        <f>T("775-861-6634")</f>
        <v>775-861-6634</v>
      </c>
    </row>
    <row r="88" spans="1:11" ht="12.75">
      <c r="A88" s="1" t="s">
        <v>11</v>
      </c>
      <c r="B88" t="str">
        <f>T("NV930 DIV OF NTRL RES LNDS PLN")</f>
        <v>NV930 DIV OF NTRL RES LNDS PLN</v>
      </c>
      <c r="C88" t="str">
        <f>T("P.O. Box 12000")</f>
        <v>P.O. Box 12000</v>
      </c>
      <c r="D88" t="s">
        <v>0</v>
      </c>
      <c r="E88" t="s">
        <v>0</v>
      </c>
      <c r="F88" t="str">
        <f>T("Attn: Vicki Lirette")</f>
        <v>Attn: Vicki Lirette</v>
      </c>
      <c r="G88" t="str">
        <f>T("Reno")</f>
        <v>Reno</v>
      </c>
      <c r="H88" t="str">
        <f t="shared" si="16"/>
        <v>NV </v>
      </c>
      <c r="I88" s="1">
        <f>N(89502)</f>
        <v>89502</v>
      </c>
      <c r="J88" s="1" t="str">
        <f>T("775-861-6402")</f>
        <v>775-861-6402</v>
      </c>
      <c r="K88" s="1" t="str">
        <f>T("775-861-6634")</f>
        <v>775-861-6634</v>
      </c>
    </row>
    <row r="89" spans="1:11" ht="12.75">
      <c r="A89" s="1" t="s">
        <v>11</v>
      </c>
      <c r="B89" t="str">
        <f>T("NV950 DIVISION OF SUPPORT SVCS")</f>
        <v>NV950 DIVISION OF SUPPORT SVCS</v>
      </c>
      <c r="C89" t="str">
        <f>T("P.O. Box 12000")</f>
        <v>P.O. Box 12000</v>
      </c>
      <c r="D89" t="s">
        <v>0</v>
      </c>
      <c r="E89" t="s">
        <v>0</v>
      </c>
      <c r="F89" t="str">
        <f>T("Attn:  Vicki Lirette")</f>
        <v>Attn:  Vicki Lirette</v>
      </c>
      <c r="G89" t="str">
        <f>T("Reno")</f>
        <v>Reno</v>
      </c>
      <c r="H89" t="str">
        <f t="shared" si="16"/>
        <v>NV </v>
      </c>
      <c r="I89" s="1">
        <f>N(89502)</f>
        <v>89502</v>
      </c>
      <c r="J89" s="1" t="str">
        <f>T("775-861-6402")</f>
        <v>775-861-6402</v>
      </c>
      <c r="K89" s="1" t="str">
        <f>T("775-861-6634")</f>
        <v>775-861-6634</v>
      </c>
    </row>
    <row r="90" spans="1:11" ht="12.75">
      <c r="A90" s="1" t="s">
        <v>11</v>
      </c>
      <c r="B90" t="str">
        <f>T("OR010 LAKEVIEW DISTRICT")</f>
        <v>OR010 LAKEVIEW DISTRICT</v>
      </c>
      <c r="C90" t="str">
        <f>T("HC 10 BOX 337  1301 SOUTH G ST ")</f>
        <v>HC 10 BOX 337  1301 SOUTH G ST </v>
      </c>
      <c r="D90" t="s">
        <v>0</v>
      </c>
      <c r="E90" t="s">
        <v>0</v>
      </c>
      <c r="F90" t="s">
        <v>0</v>
      </c>
      <c r="G90" t="str">
        <f>T("LAKEVIEW")</f>
        <v>LAKEVIEW</v>
      </c>
      <c r="H90" t="str">
        <f aca="true" t="shared" si="17" ref="H90:H98">T("OR ")</f>
        <v>OR </v>
      </c>
      <c r="I90" s="1">
        <f>N(97630)</f>
        <v>97630</v>
      </c>
      <c r="J90" s="1">
        <f>N(5419472177)</f>
        <v>5419472177</v>
      </c>
      <c r="K90" s="1">
        <f>N(5419476399)</f>
        <v>5419476399</v>
      </c>
    </row>
    <row r="91" spans="1:11" ht="12.75">
      <c r="A91" s="1" t="s">
        <v>11</v>
      </c>
      <c r="B91" t="str">
        <f>T("OR020 BURNS DISTRICT")</f>
        <v>OR020 BURNS DISTRICT</v>
      </c>
      <c r="C91" t="str">
        <f>T("28910 HWY 20 WEST")</f>
        <v>28910 HWY 20 WEST</v>
      </c>
      <c r="D91" t="s">
        <v>0</v>
      </c>
      <c r="E91" t="s">
        <v>0</v>
      </c>
      <c r="F91" t="s">
        <v>0</v>
      </c>
      <c r="G91" t="str">
        <f>T("HINES")</f>
        <v>HINES</v>
      </c>
      <c r="H91" t="str">
        <f t="shared" si="17"/>
        <v>OR </v>
      </c>
      <c r="I91" s="1">
        <f>N(97738)</f>
        <v>97738</v>
      </c>
      <c r="J91" s="1">
        <f>N(5415734400)</f>
        <v>5415734400</v>
      </c>
      <c r="K91" s="1">
        <f>N(5415734411)</f>
        <v>5415734411</v>
      </c>
    </row>
    <row r="92" spans="1:11" ht="12.75">
      <c r="A92" s="1" t="s">
        <v>11</v>
      </c>
      <c r="B92" t="str">
        <f>T("OR030 VALE DISTRICT")</f>
        <v>OR030 VALE DISTRICT</v>
      </c>
      <c r="C92" t="str">
        <f>T("100 OREGON ST")</f>
        <v>100 OREGON ST</v>
      </c>
      <c r="D92" t="s">
        <v>0</v>
      </c>
      <c r="E92" t="s">
        <v>0</v>
      </c>
      <c r="F92" t="s">
        <v>0</v>
      </c>
      <c r="G92" t="str">
        <f>T("VALE")</f>
        <v>VALE</v>
      </c>
      <c r="H92" t="str">
        <f t="shared" si="17"/>
        <v>OR </v>
      </c>
      <c r="I92" s="1">
        <f>N(97918)</f>
        <v>97918</v>
      </c>
      <c r="J92" s="1">
        <f>N(5414733144)</f>
        <v>5414733144</v>
      </c>
      <c r="K92" s="1">
        <f>N(5414736213)</f>
        <v>5414736213</v>
      </c>
    </row>
    <row r="93" spans="1:11" ht="12.75">
      <c r="A93" s="1" t="s">
        <v>11</v>
      </c>
      <c r="B93" t="str">
        <f>T("OR050 PRINEVILLE DISTRICT")</f>
        <v>OR050 PRINEVILLE DISTRICT</v>
      </c>
      <c r="C93" t="str">
        <f>T("3050 NE 3RD ST")</f>
        <v>3050 NE 3RD ST</v>
      </c>
      <c r="D93" t="s">
        <v>0</v>
      </c>
      <c r="E93" t="s">
        <v>0</v>
      </c>
      <c r="F93" t="s">
        <v>0</v>
      </c>
      <c r="G93" t="str">
        <f>T("PRINEVILLE")</f>
        <v>PRINEVILLE</v>
      </c>
      <c r="H93" t="str">
        <f t="shared" si="17"/>
        <v>OR </v>
      </c>
      <c r="I93" s="1">
        <f>N(97754)</f>
        <v>97754</v>
      </c>
      <c r="J93" s="1">
        <f>N(5414166700)</f>
        <v>5414166700</v>
      </c>
      <c r="K93" s="1">
        <f>N(5414166798)</f>
        <v>5414166798</v>
      </c>
    </row>
    <row r="94" spans="1:11" ht="12.75">
      <c r="A94" s="1" t="s">
        <v>11</v>
      </c>
      <c r="B94" t="str">
        <f>T("OR080 SALEM DISTRICT")</f>
        <v>OR080 SALEM DISTRICT</v>
      </c>
      <c r="C94" t="str">
        <f>T("P. O. BOX 3227")</f>
        <v>P. O. BOX 3227</v>
      </c>
      <c r="D94" t="s">
        <v>0</v>
      </c>
      <c r="E94" t="s">
        <v>0</v>
      </c>
      <c r="F94" t="s">
        <v>0</v>
      </c>
      <c r="G94" t="str">
        <f>T("SALEM")</f>
        <v>SALEM</v>
      </c>
      <c r="H94" t="str">
        <f t="shared" si="17"/>
        <v>OR </v>
      </c>
      <c r="I94" s="1">
        <f>N(97302)</f>
        <v>97302</v>
      </c>
      <c r="J94" s="1">
        <f>N(5033755646)</f>
        <v>5033755646</v>
      </c>
      <c r="K94" s="1">
        <f>N(5033755622)</f>
        <v>5033755622</v>
      </c>
    </row>
    <row r="95" spans="1:11" ht="12.75">
      <c r="A95" s="1" t="s">
        <v>11</v>
      </c>
      <c r="B95" t="str">
        <f>T("OR090 EUGENE DISTRICT")</f>
        <v>OR090 EUGENE DISTRICT</v>
      </c>
      <c r="C95" t="str">
        <f>T("2890 CHAD DRIVE  P. O. BOX 10226 ")</f>
        <v>2890 CHAD DRIVE  P. O. BOX 10226 </v>
      </c>
      <c r="D95" t="s">
        <v>0</v>
      </c>
      <c r="E95" t="s">
        <v>0</v>
      </c>
      <c r="F95" t="s">
        <v>0</v>
      </c>
      <c r="G95" t="str">
        <f>T("EUGENE")</f>
        <v>EUGENE</v>
      </c>
      <c r="H95" t="str">
        <f t="shared" si="17"/>
        <v>OR </v>
      </c>
      <c r="I95" s="1">
        <f>N(97440)</f>
        <v>97440</v>
      </c>
      <c r="J95" s="1">
        <f>N(5416836600)</f>
        <v>5416836600</v>
      </c>
      <c r="K95" s="1">
        <f>N(5416836981)</f>
        <v>5416836981</v>
      </c>
    </row>
    <row r="96" spans="1:11" ht="12.75">
      <c r="A96" s="1" t="s">
        <v>11</v>
      </c>
      <c r="B96" t="str">
        <f>T("OR100  ROSEBURG DISTRICT")</f>
        <v>OR100  ROSEBURG DISTRICT</v>
      </c>
      <c r="C96" t="str">
        <f>T("777 NW GARDEN VALLEY BLVD.")</f>
        <v>777 NW GARDEN VALLEY BLVD.</v>
      </c>
      <c r="D96" t="s">
        <v>0</v>
      </c>
      <c r="E96" t="s">
        <v>0</v>
      </c>
      <c r="F96" t="s">
        <v>0</v>
      </c>
      <c r="G96" t="str">
        <f>T("ROSEBURG")</f>
        <v>ROSEBURG</v>
      </c>
      <c r="H96" t="str">
        <f t="shared" si="17"/>
        <v>OR </v>
      </c>
      <c r="I96" s="1">
        <f>N(97470)</f>
        <v>97470</v>
      </c>
      <c r="J96" s="1">
        <f>N(5414404930)</f>
        <v>5414404930</v>
      </c>
      <c r="K96" s="1">
        <f>N(5414404948)</f>
        <v>5414404948</v>
      </c>
    </row>
    <row r="97" spans="1:11" ht="12.75">
      <c r="A97" s="1" t="s">
        <v>11</v>
      </c>
      <c r="B97" t="str">
        <f>T("OR110 MEDFORD DISTRICT")</f>
        <v>OR110 MEDFORD DISTRICT</v>
      </c>
      <c r="C97" t="str">
        <f>T("3040 BIDDLE ROAD")</f>
        <v>3040 BIDDLE ROAD</v>
      </c>
      <c r="D97" t="s">
        <v>0</v>
      </c>
      <c r="E97" t="s">
        <v>0</v>
      </c>
      <c r="F97" t="s">
        <v>0</v>
      </c>
      <c r="G97" t="str">
        <f>T("MEDFORD")</f>
        <v>MEDFORD</v>
      </c>
      <c r="H97" t="str">
        <f t="shared" si="17"/>
        <v>OR </v>
      </c>
      <c r="I97" s="1">
        <f>N(97504)</f>
        <v>97504</v>
      </c>
      <c r="J97" s="1">
        <f>N(5417702200)</f>
        <v>5417702200</v>
      </c>
      <c r="K97" s="1">
        <f>N(5417702400)</f>
        <v>5417702400</v>
      </c>
    </row>
    <row r="98" spans="1:11" ht="12.75">
      <c r="A98" s="1" t="s">
        <v>11</v>
      </c>
      <c r="B98" t="str">
        <f>T("OR120 COOS BAY DISTRICT")</f>
        <v>OR120 COOS BAY DISTRICT</v>
      </c>
      <c r="C98" t="str">
        <f>T("1300 AIRPORT LANE")</f>
        <v>1300 AIRPORT LANE</v>
      </c>
      <c r="D98" t="s">
        <v>0</v>
      </c>
      <c r="E98" t="s">
        <v>0</v>
      </c>
      <c r="F98" t="s">
        <v>0</v>
      </c>
      <c r="G98" t="str">
        <f>T("NORTH BEND")</f>
        <v>NORTH BEND</v>
      </c>
      <c r="H98" t="str">
        <f t="shared" si="17"/>
        <v>OR </v>
      </c>
      <c r="I98" s="1">
        <f>N(97459)</f>
        <v>97459</v>
      </c>
      <c r="J98" s="1">
        <f>N(5417560100)</f>
        <v>5417560100</v>
      </c>
      <c r="K98" s="1">
        <f>N(5417569303)</f>
        <v>5417569303</v>
      </c>
    </row>
    <row r="99" spans="1:11" ht="12.75">
      <c r="A99" s="1" t="s">
        <v>11</v>
      </c>
      <c r="B99" t="str">
        <f>T("OR130 SPOKANE DISTRICT")</f>
        <v>OR130 SPOKANE DISTRICT</v>
      </c>
      <c r="C99" t="str">
        <f>T("1103 N FANCHER ROAD")</f>
        <v>1103 N FANCHER ROAD</v>
      </c>
      <c r="D99" t="s">
        <v>0</v>
      </c>
      <c r="E99" t="s">
        <v>0</v>
      </c>
      <c r="F99" t="s">
        <v>0</v>
      </c>
      <c r="G99" t="str">
        <f>T("SPOKANE")</f>
        <v>SPOKANE</v>
      </c>
      <c r="H99" t="str">
        <f>T("WA ")</f>
        <v>WA </v>
      </c>
      <c r="I99" s="1">
        <f>N(99202)</f>
        <v>99202</v>
      </c>
      <c r="J99" s="1">
        <f>N(5095391200)</f>
        <v>5095391200</v>
      </c>
      <c r="K99" s="1">
        <f>N(5095361275)</f>
        <v>5095361275</v>
      </c>
    </row>
    <row r="100" spans="1:11" ht="12.75">
      <c r="A100" s="1" t="s">
        <v>11</v>
      </c>
      <c r="B100" t="str">
        <f>T("OR910 OFC OF STATE DIRECTOR")</f>
        <v>OR910 OFC OF STATE DIRECTOR</v>
      </c>
      <c r="C100" t="str">
        <f>T("P. O. BOX 2965")</f>
        <v>P. O. BOX 2965</v>
      </c>
      <c r="D100" t="s">
        <v>0</v>
      </c>
      <c r="E100" t="s">
        <v>0</v>
      </c>
      <c r="F100" t="s">
        <v>0</v>
      </c>
      <c r="G100" t="str">
        <f>T("PORTLAND")</f>
        <v>PORTLAND</v>
      </c>
      <c r="H100" t="str">
        <f>T("OR ")</f>
        <v>OR </v>
      </c>
      <c r="I100" s="1">
        <f>N(97208)</f>
        <v>97208</v>
      </c>
      <c r="J100" s="1">
        <f>N(5039526220)</f>
        <v>5039526220</v>
      </c>
      <c r="K100" s="1">
        <f>N(5039526312)</f>
        <v>5039526312</v>
      </c>
    </row>
    <row r="101" spans="1:11" ht="12.75">
      <c r="A101" s="1" t="s">
        <v>11</v>
      </c>
      <c r="B101" t="str">
        <f>T("OR930 DIV OF RES PLNG/USE/PROT")</f>
        <v>OR930 DIV OF RES PLNG/USE/PROT</v>
      </c>
      <c r="C101" t="str">
        <f>T("P. O. BOX 2965")</f>
        <v>P. O. BOX 2965</v>
      </c>
      <c r="D101" t="s">
        <v>0</v>
      </c>
      <c r="E101" t="s">
        <v>0</v>
      </c>
      <c r="F101" t="s">
        <v>0</v>
      </c>
      <c r="G101" t="str">
        <f>T("PORTLAND")</f>
        <v>PORTLAND</v>
      </c>
      <c r="H101" t="str">
        <f>T("OR ")</f>
        <v>OR </v>
      </c>
      <c r="I101" s="1">
        <f>N(97208)</f>
        <v>97208</v>
      </c>
      <c r="J101" s="1">
        <f>N(5039526220)</f>
        <v>5039526220</v>
      </c>
      <c r="K101" s="1">
        <f>N(5039526312)</f>
        <v>5039526312</v>
      </c>
    </row>
    <row r="102" spans="1:11" ht="12.75">
      <c r="A102" s="1" t="s">
        <v>11</v>
      </c>
      <c r="B102" t="str">
        <f>T("OR950 DIV OF MANAGEMENT SVCS")</f>
        <v>OR950 DIV OF MANAGEMENT SVCS</v>
      </c>
      <c r="C102" t="str">
        <f>T("P. O. BOX 2965")</f>
        <v>P. O. BOX 2965</v>
      </c>
      <c r="D102" t="s">
        <v>0</v>
      </c>
      <c r="E102" t="s">
        <v>0</v>
      </c>
      <c r="F102" t="s">
        <v>0</v>
      </c>
      <c r="G102" t="str">
        <f>T("PORTLAND")</f>
        <v>PORTLAND</v>
      </c>
      <c r="H102" t="str">
        <f>T("OR ")</f>
        <v>OR </v>
      </c>
      <c r="I102" s="1">
        <f>N(97208)</f>
        <v>97208</v>
      </c>
      <c r="J102" s="1">
        <f>N(5039526220)</f>
        <v>5039526220</v>
      </c>
      <c r="K102" s="1">
        <f>N(5039526312)</f>
        <v>5039526312</v>
      </c>
    </row>
    <row r="103" spans="1:11" ht="12.75">
      <c r="A103" s="1" t="s">
        <v>11</v>
      </c>
      <c r="B103" t="str">
        <f>T("UT010 FILLMORE FIELD OFC")</f>
        <v>UT010 FILLMORE FIELD OFC</v>
      </c>
      <c r="C103" t="str">
        <f>T("35 EAST 500 NORTH")</f>
        <v>35 EAST 500 NORTH</v>
      </c>
      <c r="D103" t="s">
        <v>0</v>
      </c>
      <c r="E103" t="s">
        <v>0</v>
      </c>
      <c r="F103" t="s">
        <v>0</v>
      </c>
      <c r="G103" t="str">
        <f>T("FILLMORE")</f>
        <v>FILLMORE</v>
      </c>
      <c r="H103" t="str">
        <f aca="true" t="shared" si="18" ref="H103:H114">T("UT ")</f>
        <v>UT </v>
      </c>
      <c r="I103" s="1">
        <f>N(84631)</f>
        <v>84631</v>
      </c>
      <c r="J103" s="1">
        <f>N(9)</f>
        <v>9</v>
      </c>
      <c r="K103" s="1">
        <f>N(4357435112)</f>
        <v>4357435112</v>
      </c>
    </row>
    <row r="104" spans="1:11" ht="12.75">
      <c r="A104" s="1" t="s">
        <v>11</v>
      </c>
      <c r="B104" t="str">
        <f>T("UT020 SALT LAKE FIELD OFC")</f>
        <v>UT020 SALT LAKE FIELD OFC</v>
      </c>
      <c r="C104" t="str">
        <f>T("2370 SOUTH 2300 WEST")</f>
        <v>2370 SOUTH 2300 WEST</v>
      </c>
      <c r="D104" t="s">
        <v>0</v>
      </c>
      <c r="E104" t="s">
        <v>0</v>
      </c>
      <c r="F104" t="s">
        <v>0</v>
      </c>
      <c r="G104" t="str">
        <f>T("SALT LAKE CTY")</f>
        <v>SALT LAKE CTY</v>
      </c>
      <c r="H104" t="str">
        <f t="shared" si="18"/>
        <v>UT </v>
      </c>
      <c r="I104" s="1">
        <f>N(84119)</f>
        <v>84119</v>
      </c>
      <c r="J104" s="1">
        <f>N(9)</f>
        <v>9</v>
      </c>
      <c r="K104" s="1">
        <f>N(8019774397)</f>
        <v>8019774397</v>
      </c>
    </row>
    <row r="105" spans="1:11" ht="12.75">
      <c r="A105" s="1" t="s">
        <v>11</v>
      </c>
      <c r="B105" t="str">
        <f>T("UT030 GSE NATIONAL MONUMENT")</f>
        <v>UT030 GSE NATIONAL MONUMENT</v>
      </c>
      <c r="C105" t="str">
        <f>T("180 WEST 300 NORTH")</f>
        <v>180 WEST 300 NORTH</v>
      </c>
      <c r="D105" t="s">
        <v>0</v>
      </c>
      <c r="E105" t="s">
        <v>0</v>
      </c>
      <c r="F105" t="s">
        <v>0</v>
      </c>
      <c r="G105" t="str">
        <f>T("KANAB")</f>
        <v>KANAB</v>
      </c>
      <c r="H105" t="str">
        <f t="shared" si="18"/>
        <v>UT </v>
      </c>
      <c r="I105" s="1">
        <f>N(84741)</f>
        <v>84741</v>
      </c>
      <c r="J105" s="1">
        <f>N(9)</f>
        <v>9</v>
      </c>
      <c r="K105" s="1">
        <f>N(4356444350)</f>
        <v>4356444350</v>
      </c>
    </row>
    <row r="106" spans="1:11" ht="12.75">
      <c r="A106" s="1" t="s">
        <v>11</v>
      </c>
      <c r="B106" t="str">
        <f>T("UT050 RICHFIELD FIELD OFC")</f>
        <v>UT050 RICHFIELD FIELD OFC</v>
      </c>
      <c r="C106" t="str">
        <f>T("150 EAST 900 NORTH")</f>
        <v>150 EAST 900 NORTH</v>
      </c>
      <c r="D106" t="s">
        <v>0</v>
      </c>
      <c r="E106" t="s">
        <v>0</v>
      </c>
      <c r="F106" t="s">
        <v>0</v>
      </c>
      <c r="G106" t="str">
        <f>T("RICHFIELD")</f>
        <v>RICHFIELD</v>
      </c>
      <c r="H106" t="str">
        <f t="shared" si="18"/>
        <v>UT </v>
      </c>
      <c r="I106" s="1">
        <f>N(84701)</f>
        <v>84701</v>
      </c>
      <c r="J106" s="1" t="s">
        <v>0</v>
      </c>
      <c r="K106" s="1">
        <f>N(4358961551)</f>
        <v>4358961551</v>
      </c>
    </row>
    <row r="107" spans="1:11" ht="12.75">
      <c r="A107" s="1" t="s">
        <v>11</v>
      </c>
      <c r="B107" t="str">
        <f>T("UT060 MOAB FIELD OFC")</f>
        <v>UT060 MOAB FIELD OFC</v>
      </c>
      <c r="C107" t="str">
        <f>T("82 EAST DOGWOOD  SUITE M")</f>
        <v>82 EAST DOGWOOD  SUITE M</v>
      </c>
      <c r="D107" t="s">
        <v>0</v>
      </c>
      <c r="E107" t="s">
        <v>0</v>
      </c>
      <c r="F107" t="s">
        <v>0</v>
      </c>
      <c r="G107" t="str">
        <f>T("MOAB")</f>
        <v>MOAB</v>
      </c>
      <c r="H107" t="str">
        <f t="shared" si="18"/>
        <v>UT </v>
      </c>
      <c r="I107" s="1">
        <f>N(84532)</f>
        <v>84532</v>
      </c>
      <c r="J107" s="1">
        <f>N(999999999)</f>
        <v>999999999</v>
      </c>
      <c r="K107" s="1">
        <f>N(4352592106)</f>
        <v>4352592106</v>
      </c>
    </row>
    <row r="108" spans="1:11" ht="12.75">
      <c r="A108" s="1" t="s">
        <v>11</v>
      </c>
      <c r="B108" t="str">
        <f>T("UT070 PRICE FIELD OFC")</f>
        <v>UT070 PRICE FIELD OFC</v>
      </c>
      <c r="C108" t="str">
        <f>T("125 SOUTH 600 WEST")</f>
        <v>125 SOUTH 600 WEST</v>
      </c>
      <c r="D108" t="s">
        <v>0</v>
      </c>
      <c r="E108" t="s">
        <v>0</v>
      </c>
      <c r="F108" t="s">
        <v>0</v>
      </c>
      <c r="G108" t="str">
        <f>T("PRICE")</f>
        <v>PRICE</v>
      </c>
      <c r="H108" t="str">
        <f t="shared" si="18"/>
        <v>UT </v>
      </c>
      <c r="I108" s="1">
        <f>N(84501)</f>
        <v>84501</v>
      </c>
      <c r="J108" s="1">
        <f>N(9)</f>
        <v>9</v>
      </c>
      <c r="K108" s="1">
        <f>N(4356363657)</f>
        <v>4356363657</v>
      </c>
    </row>
    <row r="109" spans="1:11" ht="12.75">
      <c r="A109" s="1" t="s">
        <v>11</v>
      </c>
      <c r="B109" t="str">
        <f>T("UT080 VERNAL FIELD OFC")</f>
        <v>UT080 VERNAL FIELD OFC</v>
      </c>
      <c r="C109" t="str">
        <f>T("170 SOUTH 500 EAST")</f>
        <v>170 SOUTH 500 EAST</v>
      </c>
      <c r="D109" t="s">
        <v>0</v>
      </c>
      <c r="E109" t="s">
        <v>0</v>
      </c>
      <c r="F109" t="s">
        <v>0</v>
      </c>
      <c r="G109" t="str">
        <f>T("VERNAL")</f>
        <v>VERNAL</v>
      </c>
      <c r="H109" t="str">
        <f t="shared" si="18"/>
        <v>UT </v>
      </c>
      <c r="I109" s="1">
        <f>N(84078)</f>
        <v>84078</v>
      </c>
      <c r="J109" s="1">
        <f>N(9999999999)</f>
        <v>9999999999</v>
      </c>
      <c r="K109" s="1">
        <f>N(4357814410)</f>
        <v>4357814410</v>
      </c>
    </row>
    <row r="110" spans="1:11" ht="12.75">
      <c r="A110" s="1" t="s">
        <v>11</v>
      </c>
      <c r="B110" t="str">
        <f>T("UT090 MONTICELLO FIELD OFC")</f>
        <v>UT090 MONTICELLO FIELD OFC</v>
      </c>
      <c r="C110" t="str">
        <f>T("435 NORTH MAIN STREET")</f>
        <v>435 NORTH MAIN STREET</v>
      </c>
      <c r="D110" t="s">
        <v>0</v>
      </c>
      <c r="E110" t="s">
        <v>0</v>
      </c>
      <c r="F110" t="s">
        <v>0</v>
      </c>
      <c r="G110" t="str">
        <f>T("MONTICELLO")</f>
        <v>MONTICELLO</v>
      </c>
      <c r="H110" t="str">
        <f t="shared" si="18"/>
        <v>UT </v>
      </c>
      <c r="I110" s="1">
        <f>N(84535)</f>
        <v>84535</v>
      </c>
      <c r="J110" s="1" t="s">
        <v>0</v>
      </c>
      <c r="K110" s="1">
        <f>N(4355871518)</f>
        <v>4355871518</v>
      </c>
    </row>
    <row r="111" spans="1:11" ht="12.75">
      <c r="A111" s="1" t="s">
        <v>11</v>
      </c>
      <c r="B111" t="str">
        <f>T("UT910 OFC OF STATE DIRECTOR")</f>
        <v>UT910 OFC OF STATE DIRECTOR</v>
      </c>
      <c r="C111" t="str">
        <f>T("325 S STATE STREET")</f>
        <v>325 S STATE STREET</v>
      </c>
      <c r="D111" t="str">
        <f>T("SUITE 301")</f>
        <v>SUITE 301</v>
      </c>
      <c r="E111" t="str">
        <f>T("PO BOX 45155")</f>
        <v>PO BOX 45155</v>
      </c>
      <c r="F111" t="str">
        <f>T("ATTN: RAY HOLMES")</f>
        <v>ATTN: RAY HOLMES</v>
      </c>
      <c r="G111" t="str">
        <f>T("SALT LAKE CTY")</f>
        <v>SALT LAKE CTY</v>
      </c>
      <c r="H111" t="str">
        <f t="shared" si="18"/>
        <v>UT </v>
      </c>
      <c r="I111" s="1">
        <f>N(84123)</f>
        <v>84123</v>
      </c>
      <c r="J111" s="1">
        <f>N(8015394165)</f>
        <v>8015394165</v>
      </c>
      <c r="K111" s="1">
        <f>N(8015394222)</f>
        <v>8015394222</v>
      </c>
    </row>
    <row r="112" spans="1:11" ht="12.75">
      <c r="A112" s="1" t="s">
        <v>11</v>
      </c>
      <c r="B112" t="str">
        <f>T("UT930 DIV OF NATURAL RESOURCES")</f>
        <v>UT930 DIV OF NATURAL RESOURCES</v>
      </c>
      <c r="C112" t="str">
        <f>T("325 S STATE STREET")</f>
        <v>325 S STATE STREET</v>
      </c>
      <c r="D112" t="str">
        <f>T("SUITE 301")</f>
        <v>SUITE 301</v>
      </c>
      <c r="E112" t="str">
        <f>T("PO BOX 45155")</f>
        <v>PO BOX 45155</v>
      </c>
      <c r="F112" t="str">
        <f>T("ATTN: RAY HOLMES")</f>
        <v>ATTN: RAY HOLMES</v>
      </c>
      <c r="G112" t="str">
        <f>T("SALT LAKE CTY")</f>
        <v>SALT LAKE CTY</v>
      </c>
      <c r="H112" t="str">
        <f t="shared" si="18"/>
        <v>UT </v>
      </c>
      <c r="I112" s="1">
        <f>N(84123)</f>
        <v>84123</v>
      </c>
      <c r="J112" s="1">
        <f>N(8015394165)</f>
        <v>8015394165</v>
      </c>
      <c r="K112" s="1">
        <f>N(8015394222)</f>
        <v>8015394222</v>
      </c>
    </row>
    <row r="113" spans="1:11" ht="12.75">
      <c r="A113" s="1" t="s">
        <v>11</v>
      </c>
      <c r="B113" t="str">
        <f>T("UT920 DIV OF LANDS &amp; MINERALS")</f>
        <v>UT920 DIV OF LANDS &amp; MINERALS</v>
      </c>
      <c r="C113" t="str">
        <f>T("325 S STATE STREET")</f>
        <v>325 S STATE STREET</v>
      </c>
      <c r="D113" t="str">
        <f>T("SUITE 301")</f>
        <v>SUITE 301</v>
      </c>
      <c r="E113" t="str">
        <f>T("PO BOX 45155")</f>
        <v>PO BOX 45155</v>
      </c>
      <c r="F113" t="str">
        <f>T("ATTN: RAY HOLMES")</f>
        <v>ATTN: RAY HOLMES</v>
      </c>
      <c r="G113" t="str">
        <f>T("SALT LAKE CTY")</f>
        <v>SALT LAKE CTY</v>
      </c>
      <c r="H113" t="str">
        <f t="shared" si="18"/>
        <v>UT </v>
      </c>
      <c r="I113" s="1">
        <f>N(84123)</f>
        <v>84123</v>
      </c>
      <c r="J113" s="1">
        <f>N(8015394165)</f>
        <v>8015394165</v>
      </c>
      <c r="K113" s="1">
        <f>N(8015394222)</f>
        <v>8015394222</v>
      </c>
    </row>
    <row r="114" spans="1:11" ht="12.75">
      <c r="A114" s="1" t="s">
        <v>11</v>
      </c>
      <c r="B114" t="str">
        <f>T("UT950 DIV OF SUPPORT SERVICES")</f>
        <v>UT950 DIV OF SUPPORT SERVICES</v>
      </c>
      <c r="C114" t="str">
        <f>T("325 S STATE STREET")</f>
        <v>325 S STATE STREET</v>
      </c>
      <c r="D114" t="str">
        <f>T("SUITE 301")</f>
        <v>SUITE 301</v>
      </c>
      <c r="E114" t="str">
        <f>T("PO BOX 45155")</f>
        <v>PO BOX 45155</v>
      </c>
      <c r="F114" t="str">
        <f>T("ATTN: RAY HOLMES")</f>
        <v>ATTN: RAY HOLMES</v>
      </c>
      <c r="G114" t="str">
        <f>T("SALT LAKE CTY")</f>
        <v>SALT LAKE CTY</v>
      </c>
      <c r="H114" t="str">
        <f t="shared" si="18"/>
        <v>UT </v>
      </c>
      <c r="I114" s="1">
        <f>N(84123)</f>
        <v>84123</v>
      </c>
      <c r="J114" s="1">
        <f>N(8015394165)</f>
        <v>8015394165</v>
      </c>
      <c r="K114" s="1">
        <f>N(8015394222)</f>
        <v>8015394222</v>
      </c>
    </row>
    <row r="115" spans="1:11" ht="12.75">
      <c r="A115" s="1" t="s">
        <v>11</v>
      </c>
      <c r="B115" t="str">
        <f>T("WO100 OFC OF THE DIRECTOR")</f>
        <v>WO100 OFC OF THE DIRECTOR</v>
      </c>
      <c r="C115" t="str">
        <f>T("USDI  BLM  WO 100")</f>
        <v>USDI  BLM  WO 100</v>
      </c>
      <c r="D115" t="str">
        <f>T("1849 C STREET  NW  ROOM 5660")</f>
        <v>1849 C STREET  NW  ROOM 5660</v>
      </c>
      <c r="E115" t="str">
        <f>T("ATTN: NINA HATFIELD")</f>
        <v>ATTN: NINA HATFIELD</v>
      </c>
      <c r="F115" t="s">
        <v>0</v>
      </c>
      <c r="G115" t="str">
        <f aca="true" t="shared" si="19" ref="G115:G120">T("WASHINGTON")</f>
        <v>WASHINGTON</v>
      </c>
      <c r="H115" t="str">
        <f aca="true" t="shared" si="20" ref="H115:H120">T("DC ")</f>
        <v>DC </v>
      </c>
      <c r="I115" s="1">
        <f aca="true" t="shared" si="21" ref="I115:I120">N(20240)</f>
        <v>20240</v>
      </c>
      <c r="J115" s="1">
        <f>N(2022083801)</f>
        <v>2022083801</v>
      </c>
      <c r="K115" s="1">
        <f>N(2022085242)</f>
        <v>2022085242</v>
      </c>
    </row>
    <row r="116" spans="1:11" ht="12.75">
      <c r="A116" s="1" t="s">
        <v>11</v>
      </c>
      <c r="B116" t="str">
        <f>T("WO300 ASST DIR MNRLS RLTY/RES")</f>
        <v>WO300 ASST DIR MNRLS RLTY/RES</v>
      </c>
      <c r="C116" t="str">
        <f>T("USDI  BLM  WO 300")</f>
        <v>USDI  BLM  WO 300</v>
      </c>
      <c r="D116" t="str">
        <f>T("1849 C STREET  NW  ROOM 5627")</f>
        <v>1849 C STREET  NW  ROOM 5627</v>
      </c>
      <c r="E116" t="str">
        <f>T("ATTN: PETE CULP")</f>
        <v>ATTN: PETE CULP</v>
      </c>
      <c r="F116" t="s">
        <v>0</v>
      </c>
      <c r="G116" t="str">
        <f t="shared" si="19"/>
        <v>WASHINGTON</v>
      </c>
      <c r="H116" t="str">
        <f t="shared" si="20"/>
        <v>DC </v>
      </c>
      <c r="I116" s="1">
        <f t="shared" si="21"/>
        <v>20240</v>
      </c>
      <c r="J116" s="1">
        <f>N(2022084201)</f>
        <v>2022084201</v>
      </c>
      <c r="K116" s="1">
        <f>N(2022084800)</f>
        <v>2022084800</v>
      </c>
    </row>
    <row r="117" spans="1:11" ht="12.75">
      <c r="A117" s="1" t="s">
        <v>11</v>
      </c>
      <c r="B117" t="str">
        <f>T("WO500 ASST DIR INFORMATION RES")</f>
        <v>WO500 ASST DIR INFORMATION RES</v>
      </c>
      <c r="C117" t="str">
        <f>T("USDI  BLM  WO 500")</f>
        <v>USDI  BLM  WO 500</v>
      </c>
      <c r="D117" t="str">
        <f>T("1849 C STREET  NW  ROOM 5642")</f>
        <v>1849 C STREET  NW  ROOM 5642</v>
      </c>
      <c r="E117" t="str">
        <f>T("ATTN: HORD TIPTON")</f>
        <v>ATTN: HORD TIPTON</v>
      </c>
      <c r="F117" t="s">
        <v>0</v>
      </c>
      <c r="G117" t="str">
        <f t="shared" si="19"/>
        <v>WASHINGTON</v>
      </c>
      <c r="H117" t="str">
        <f t="shared" si="20"/>
        <v>DC </v>
      </c>
      <c r="I117" s="1">
        <f t="shared" si="21"/>
        <v>20240</v>
      </c>
      <c r="J117" s="1">
        <f>N(2022087701)</f>
        <v>2022087701</v>
      </c>
      <c r="K117" s="1">
        <f>N(2022085902)</f>
        <v>2022085902</v>
      </c>
    </row>
    <row r="118" spans="1:11" ht="12.75">
      <c r="A118" s="1" t="s">
        <v>11</v>
      </c>
      <c r="B118" t="str">
        <f>T("WO600 ASST DIR COMMUNICATIONS")</f>
        <v>WO600 ASST DIR COMMUNICATIONS</v>
      </c>
      <c r="C118" t="str">
        <f>T("USDI  BLM  WO 600")</f>
        <v>USDI  BLM  WO 600</v>
      </c>
      <c r="D118" t="str">
        <f>T("1849 C STREET  NW  ROOM 5647")</f>
        <v>1849 C STREET  NW  ROOM 5647</v>
      </c>
      <c r="E118" t="str">
        <f>T("ATTN: LAWRENCE FINFER")</f>
        <v>ATTN: LAWRENCE FINFER</v>
      </c>
      <c r="F118" t="s">
        <v>0</v>
      </c>
      <c r="G118" t="str">
        <f t="shared" si="19"/>
        <v>WASHINGTON</v>
      </c>
      <c r="H118" t="str">
        <f t="shared" si="20"/>
        <v>DC </v>
      </c>
      <c r="I118" s="1">
        <f t="shared" si="21"/>
        <v>20240</v>
      </c>
      <c r="J118" s="1">
        <f>N(2022086913)</f>
        <v>2022086913</v>
      </c>
      <c r="K118" s="1">
        <f>N(2022086769)</f>
        <v>2022086769</v>
      </c>
    </row>
    <row r="119" spans="1:11" ht="12.75">
      <c r="A119" s="1" t="s">
        <v>11</v>
      </c>
      <c r="B119" t="str">
        <f>T("WO700 ASST DIR HUMAN RES MGMT")</f>
        <v>WO700 ASST DIR HUMAN RES MGMT</v>
      </c>
      <c r="C119" t="str">
        <f>T("USDI  BLM  WO 700")</f>
        <v>USDI  BLM  WO 700</v>
      </c>
      <c r="D119" t="str">
        <f>T("1849 C STREET  NW  ROOM 5628")</f>
        <v>1849 C STREET  NW  ROOM 5628</v>
      </c>
      <c r="E119" t="str">
        <f>T("ATTN:  WARREN JOHNSON")</f>
        <v>ATTN:  WARREN JOHNSON</v>
      </c>
      <c r="F119" t="s">
        <v>0</v>
      </c>
      <c r="G119" t="str">
        <f t="shared" si="19"/>
        <v>WASHINGTON</v>
      </c>
      <c r="H119" t="str">
        <f t="shared" si="20"/>
        <v>DC </v>
      </c>
      <c r="I119" s="1">
        <f t="shared" si="21"/>
        <v>20240</v>
      </c>
      <c r="J119" s="1">
        <f>N(2025016723)</f>
        <v>2025016723</v>
      </c>
      <c r="K119" s="1">
        <f>N(2025016718)</f>
        <v>2025016718</v>
      </c>
    </row>
    <row r="120" spans="1:11" ht="12.75">
      <c r="A120" s="1" t="s">
        <v>11</v>
      </c>
      <c r="B120" t="str">
        <f>T("WO800 ASST DIR BUSN &amp; FSCL RES")</f>
        <v>WO800 ASST DIR BUSN &amp; FSCL RES</v>
      </c>
      <c r="C120" t="str">
        <f>T("USDI  BLM  WO 800")</f>
        <v>USDI  BLM  WO 800</v>
      </c>
      <c r="D120" t="str">
        <f>T("1849 C STREET  NW  ROOM 5617")</f>
        <v>1849 C STREET  NW  ROOM 5617</v>
      </c>
      <c r="E120" t="str">
        <f>T("ATTN:  ROBERT DOYLE")</f>
        <v>ATTN:  ROBERT DOYLE</v>
      </c>
      <c r="F120" t="s">
        <v>0</v>
      </c>
      <c r="G120" t="str">
        <f t="shared" si="19"/>
        <v>WASHINGTON</v>
      </c>
      <c r="H120" t="str">
        <f t="shared" si="20"/>
        <v>DC </v>
      </c>
      <c r="I120" s="1">
        <f t="shared" si="21"/>
        <v>20240</v>
      </c>
      <c r="J120" s="1">
        <f>N(2022084864)</f>
        <v>2022084864</v>
      </c>
      <c r="K120" s="1">
        <f>N(2022085964)</f>
        <v>2022085964</v>
      </c>
    </row>
    <row r="121" spans="1:11" ht="12.75">
      <c r="A121" s="1" t="s">
        <v>11</v>
      </c>
      <c r="B121" t="str">
        <f>T("WY010 WORLAND FIELD OFC")</f>
        <v>WY010 WORLAND FIELD OFC</v>
      </c>
      <c r="C121" t="str">
        <f>T("101 SOUTH 23RD STREET")</f>
        <v>101 SOUTH 23RD STREET</v>
      </c>
      <c r="D121" t="str">
        <f>T("P. O. BOX 119")</f>
        <v>P. O. BOX 119</v>
      </c>
      <c r="E121" t="str">
        <f>T("ATTN: KERMIT JOHNSON")</f>
        <v>ATTN: KERMIT JOHNSON</v>
      </c>
      <c r="F121" t="s">
        <v>0</v>
      </c>
      <c r="G121" t="str">
        <f>T("WORLAND")</f>
        <v>WORLAND</v>
      </c>
      <c r="H121" t="str">
        <f>T("WY ")</f>
        <v>WY </v>
      </c>
      <c r="I121" s="1">
        <f>N(82401)</f>
        <v>82401</v>
      </c>
      <c r="J121" s="1">
        <f>N(3077756058)</f>
        <v>3077756058</v>
      </c>
      <c r="K121" s="1">
        <f>N(3073476195)</f>
        <v>3073476195</v>
      </c>
    </row>
    <row r="122" spans="1:11" ht="12.75">
      <c r="A122" s="1" t="s">
        <v>11</v>
      </c>
      <c r="B122" t="str">
        <f>T("WY020 CODY FIELD OFC")</f>
        <v>WY020 CODY FIELD OFC</v>
      </c>
      <c r="C122" t="str">
        <f>T("1002 BLACKBURN")</f>
        <v>1002 BLACKBURN</v>
      </c>
      <c r="D122" t="str">
        <f>T("P. O. BOX 518")</f>
        <v>P. O. BOX 518</v>
      </c>
      <c r="E122" t="str">
        <f>T("ATTN: KERMIT JOHNSON")</f>
        <v>ATTN: KERMIT JOHNSON</v>
      </c>
      <c r="F122" t="s">
        <v>0</v>
      </c>
      <c r="G122" t="str">
        <f>T("CODY")</f>
        <v>CODY</v>
      </c>
      <c r="H122" t="str">
        <f>T("WY ")</f>
        <v>WY </v>
      </c>
      <c r="I122" s="1">
        <f>N(82414)</f>
        <v>82414</v>
      </c>
      <c r="J122" s="1">
        <f>N(3077756058)</f>
        <v>3077756058</v>
      </c>
      <c r="K122" s="1">
        <f>N(3075277716)</f>
        <v>3075277716</v>
      </c>
    </row>
    <row r="123" spans="1:11" ht="12.75">
      <c r="A123" s="1" t="s">
        <v>11</v>
      </c>
      <c r="B123" t="str">
        <f>T("WY030 RAWLINS FIELD OFC")</f>
        <v>WY030 RAWLINS FIELD OFC</v>
      </c>
      <c r="C123" t="str">
        <f>T("1300 NORTH THIRD STREET")</f>
        <v>1300 NORTH THIRD STREET</v>
      </c>
      <c r="D123" t="str">
        <f>T("P. O. BOX 2407")</f>
        <v>P. O. BOX 2407</v>
      </c>
      <c r="E123" t="str">
        <f>T("ATTN: KERMIT JOHNSON")</f>
        <v>ATTN: KERMIT JOHNSON</v>
      </c>
      <c r="F123" t="s">
        <v>0</v>
      </c>
      <c r="G123" t="str">
        <f>T("RAWLINS")</f>
        <v>RAWLINS</v>
      </c>
      <c r="H123" t="str">
        <f>T("WY ")</f>
        <v>WY </v>
      </c>
      <c r="I123" s="1">
        <f>N(82301)</f>
        <v>82301</v>
      </c>
      <c r="J123" s="1">
        <f>N(3077756058)</f>
        <v>3077756058</v>
      </c>
      <c r="K123" s="1">
        <f>N(3073284224)</f>
        <v>3073284224</v>
      </c>
    </row>
    <row r="124" spans="1:11" ht="12.75">
      <c r="A124" s="1" t="s">
        <v>11</v>
      </c>
      <c r="B124" t="str">
        <f>T("WY040 ROCK SPRINGS FIELD OFC")</f>
        <v>WY040 ROCK SPRINGS FIELD OFC</v>
      </c>
      <c r="C124" t="str">
        <f>T("280 HIGHWAY 191 NORTH")</f>
        <v>280 HIGHWAY 191 NORTH</v>
      </c>
      <c r="D124" t="str">
        <f>T("ATTN: KERMIT JOHNSON")</f>
        <v>ATTN: KERMIT JOHNSON</v>
      </c>
      <c r="E124" t="s">
        <v>0</v>
      </c>
      <c r="F124" t="s">
        <v>0</v>
      </c>
      <c r="G124" t="str">
        <f>T("ROCK SPRINGS")</f>
        <v>ROCK SPRINGS</v>
      </c>
      <c r="H124" t="str">
        <f>T("WY ")</f>
        <v>WY </v>
      </c>
      <c r="I124" s="1">
        <f>N(82901)</f>
        <v>82901</v>
      </c>
      <c r="J124" s="1">
        <f>N(3077756058)</f>
        <v>3077756058</v>
      </c>
      <c r="K124" s="1">
        <f>N(3073626001)</f>
        <v>3073626001</v>
      </c>
    </row>
    <row r="125" spans="1:11" ht="12.75">
      <c r="A125" s="1" t="s">
        <v>11</v>
      </c>
      <c r="B125" t="str">
        <f>T("WY050 LANDER FIELD OFC")</f>
        <v>WY050 LANDER FIELD OFC</v>
      </c>
      <c r="C125" t="str">
        <f>T("1335 MAIN STREET")</f>
        <v>1335 MAIN STREET</v>
      </c>
      <c r="D125" t="str">
        <f>T("P. O. BOX 589")</f>
        <v>P. O. BOX 589</v>
      </c>
      <c r="E125" t="str">
        <f>T("ATTN: KERMIT JOHNSON")</f>
        <v>ATTN: KERMIT JOHNSON</v>
      </c>
      <c r="F125" t="s">
        <v>0</v>
      </c>
      <c r="G125" t="str">
        <f>T("LANDER")</f>
        <v>LANDER</v>
      </c>
      <c r="H125" t="str">
        <f aca="true" t="shared" si="22" ref="H125:H133">T("WY ")</f>
        <v>WY </v>
      </c>
      <c r="I125" s="1">
        <f>N(82520)</f>
        <v>82520</v>
      </c>
      <c r="J125" s="1">
        <f aca="true" t="shared" si="23" ref="J125:J133">N(3077756058)</f>
        <v>3077756058</v>
      </c>
      <c r="K125" s="1">
        <f>N(3073328447)</f>
        <v>3073328447</v>
      </c>
    </row>
    <row r="126" spans="1:11" ht="12.75">
      <c r="A126" s="1" t="s">
        <v>11</v>
      </c>
      <c r="B126" t="str">
        <f>T("WY060 CASPER FIELD OFC")</f>
        <v>WY060 CASPER FIELD OFC</v>
      </c>
      <c r="C126" t="str">
        <f>T("1701 EAST E STREET")</f>
        <v>1701 EAST E STREET</v>
      </c>
      <c r="D126" t="str">
        <f>T("ATTN: KERMIT JOHNSON")</f>
        <v>ATTN: KERMIT JOHNSON</v>
      </c>
      <c r="E126" t="s">
        <v>0</v>
      </c>
      <c r="F126" t="s">
        <v>0</v>
      </c>
      <c r="G126" t="str">
        <f>T("CASPER")</f>
        <v>CASPER</v>
      </c>
      <c r="H126" t="str">
        <f t="shared" si="22"/>
        <v>WY </v>
      </c>
      <c r="I126" s="1">
        <f>N(82601)</f>
        <v>82601</v>
      </c>
      <c r="J126" s="1">
        <f t="shared" si="23"/>
        <v>3077756058</v>
      </c>
      <c r="K126" s="1">
        <f>N(3072341525)</f>
        <v>3072341525</v>
      </c>
    </row>
    <row r="127" spans="1:11" ht="12.75">
      <c r="A127" s="1" t="s">
        <v>11</v>
      </c>
      <c r="B127" t="str">
        <f>T("WY070 BUFFALO FIELD OFC")</f>
        <v>WY070 BUFFALO FIELD OFC</v>
      </c>
      <c r="C127" t="str">
        <f>T("1425 FORT STREET")</f>
        <v>1425 FORT STREET</v>
      </c>
      <c r="D127" t="str">
        <f>T("ATTN: KERMIT JOHNSON")</f>
        <v>ATTN: KERMIT JOHNSON</v>
      </c>
      <c r="E127" t="s">
        <v>0</v>
      </c>
      <c r="F127" t="s">
        <v>0</v>
      </c>
      <c r="G127" t="str">
        <f>T("BUFFALO")</f>
        <v>BUFFALO</v>
      </c>
      <c r="H127" t="str">
        <f t="shared" si="22"/>
        <v>WY </v>
      </c>
      <c r="I127" s="1">
        <f>N(82834)</f>
        <v>82834</v>
      </c>
      <c r="J127" s="1">
        <f t="shared" si="23"/>
        <v>3077756058</v>
      </c>
      <c r="K127" s="1">
        <f>N(3076841122)</f>
        <v>3076841122</v>
      </c>
    </row>
    <row r="128" spans="1:11" ht="12.75">
      <c r="A128" s="1" t="s">
        <v>11</v>
      </c>
      <c r="B128" t="str">
        <f>T("WY080 NEWCASTLE FIELD OFC")</f>
        <v>WY080 NEWCASTLE FIELD OFC</v>
      </c>
      <c r="C128" t="str">
        <f>T("1101 WASHINGTON BLVD.")</f>
        <v>1101 WASHINGTON BLVD.</v>
      </c>
      <c r="D128" t="str">
        <f>T("ATTN: KERMIT JOHNSON")</f>
        <v>ATTN: KERMIT JOHNSON</v>
      </c>
      <c r="E128" t="s">
        <v>0</v>
      </c>
      <c r="F128" t="s">
        <v>0</v>
      </c>
      <c r="G128" t="str">
        <f>T("NEWCASTLE")</f>
        <v>NEWCASTLE</v>
      </c>
      <c r="H128" t="str">
        <f t="shared" si="22"/>
        <v>WY </v>
      </c>
      <c r="I128" s="1">
        <f>N(82701)</f>
        <v>82701</v>
      </c>
      <c r="J128" s="1">
        <f t="shared" si="23"/>
        <v>3077756058</v>
      </c>
      <c r="K128" s="1">
        <f>N(3077464840)</f>
        <v>3077464840</v>
      </c>
    </row>
    <row r="129" spans="1:11" ht="12.75">
      <c r="A129" s="1" t="s">
        <v>11</v>
      </c>
      <c r="B129" t="str">
        <f>T("WY090 KEMMERER FIELD OFC")</f>
        <v>WY090 KEMMERER FIELD OFC</v>
      </c>
      <c r="C129" t="str">
        <f>T("312 HIGHWAY 189 NORTH")</f>
        <v>312 HIGHWAY 189 NORTH</v>
      </c>
      <c r="D129" t="str">
        <f>T("P. O. BOX 632")</f>
        <v>P. O. BOX 632</v>
      </c>
      <c r="E129" t="str">
        <f>T("ATTN: KERMIT JOHNSON")</f>
        <v>ATTN: KERMIT JOHNSON</v>
      </c>
      <c r="F129" t="s">
        <v>0</v>
      </c>
      <c r="G129" t="str">
        <f>T("KEMMERER")</f>
        <v>KEMMERER</v>
      </c>
      <c r="H129" t="str">
        <f t="shared" si="22"/>
        <v>WY </v>
      </c>
      <c r="I129" s="1">
        <f>N(83101)</f>
        <v>83101</v>
      </c>
      <c r="J129" s="1">
        <f t="shared" si="23"/>
        <v>3077756058</v>
      </c>
      <c r="K129" s="1">
        <f>N(3078284539)</f>
        <v>3078284539</v>
      </c>
    </row>
    <row r="130" spans="1:11" ht="12.75">
      <c r="A130" s="1" t="s">
        <v>11</v>
      </c>
      <c r="B130" t="str">
        <f>T("WY100 PINEDALE FIELD OFC")</f>
        <v>WY100 PINEDALE FIELD OFC</v>
      </c>
      <c r="C130" t="str">
        <f>T("432 EAST MILL STREET")</f>
        <v>432 EAST MILL STREET</v>
      </c>
      <c r="D130" t="str">
        <f>T("P. O. BOX 768")</f>
        <v>P. O. BOX 768</v>
      </c>
      <c r="E130" t="str">
        <f>T("ATTN: KERMIT JOHNSON")</f>
        <v>ATTN: KERMIT JOHNSON</v>
      </c>
      <c r="F130" t="s">
        <v>0</v>
      </c>
      <c r="G130" t="str">
        <f>T("PINEDALE")</f>
        <v>PINEDALE</v>
      </c>
      <c r="H130" t="str">
        <f t="shared" si="22"/>
        <v>WY </v>
      </c>
      <c r="I130" s="1">
        <f>N(82941)</f>
        <v>82941</v>
      </c>
      <c r="J130" s="1">
        <f t="shared" si="23"/>
        <v>3077756058</v>
      </c>
      <c r="K130" s="1">
        <f>N(3073675329)</f>
        <v>3073675329</v>
      </c>
    </row>
    <row r="131" spans="1:11" ht="12.75">
      <c r="A131" s="1" t="s">
        <v>11</v>
      </c>
      <c r="B131" t="str">
        <f>T("WY910 OFC OF STATE DIRECTOR")</f>
        <v>WY910 OFC OF STATE DIRECTOR</v>
      </c>
      <c r="C131" t="str">
        <f>T("2515 WARREN AVENUE")</f>
        <v>2515 WARREN AVENUE</v>
      </c>
      <c r="D131" t="str">
        <f>T("ATTN: KERMIT JOHNSON")</f>
        <v>ATTN: KERMIT JOHNSON</v>
      </c>
      <c r="E131" t="s">
        <v>0</v>
      </c>
      <c r="F131" t="s">
        <v>0</v>
      </c>
      <c r="G131" t="str">
        <f>T("CHEYENNE")</f>
        <v>CHEYENNE</v>
      </c>
      <c r="H131" t="str">
        <f t="shared" si="22"/>
        <v>WY </v>
      </c>
      <c r="I131" s="1">
        <f>N(82003)</f>
        <v>82003</v>
      </c>
      <c r="J131" s="1">
        <f t="shared" si="23"/>
        <v>3077756058</v>
      </c>
      <c r="K131" s="1">
        <f>N(3077756129)</f>
        <v>3077756129</v>
      </c>
    </row>
    <row r="132" spans="1:11" ht="12.75">
      <c r="A132" s="1" t="s">
        <v>11</v>
      </c>
      <c r="B132" t="str">
        <f>T("WY920 DIV OF MINERALS &amp; LANDS")</f>
        <v>WY920 DIV OF MINERALS &amp; LANDS</v>
      </c>
      <c r="C132" t="str">
        <f>T("2515 WARREN AVENUE")</f>
        <v>2515 WARREN AVENUE</v>
      </c>
      <c r="D132" t="str">
        <f>T("ATTN: KERMIT JOHNSON")</f>
        <v>ATTN: KERMIT JOHNSON</v>
      </c>
      <c r="E132" t="s">
        <v>0</v>
      </c>
      <c r="F132" t="s">
        <v>0</v>
      </c>
      <c r="G132" t="str">
        <f>T("CHEYENNE")</f>
        <v>CHEYENNE</v>
      </c>
      <c r="H132" t="str">
        <f t="shared" si="22"/>
        <v>WY </v>
      </c>
      <c r="I132" s="1">
        <f>N(82003)</f>
        <v>82003</v>
      </c>
      <c r="J132" s="1">
        <f t="shared" si="23"/>
        <v>3077756058</v>
      </c>
      <c r="K132" s="1">
        <f>N(3077756129)</f>
        <v>3077756129</v>
      </c>
    </row>
    <row r="133" spans="1:11" ht="12.75">
      <c r="A133" s="1" t="s">
        <v>11</v>
      </c>
      <c r="B133" t="str">
        <f>T("WY930 DIV OF RES POLICY &amp; MGMT")</f>
        <v>WY930 DIV OF RES POLICY &amp; MGMT</v>
      </c>
      <c r="C133" t="str">
        <f>T("2515 WARREN AVENUE")</f>
        <v>2515 WARREN AVENUE</v>
      </c>
      <c r="D133" t="str">
        <f>T("ATTN: KERMIT JOHNSON")</f>
        <v>ATTN: KERMIT JOHNSON</v>
      </c>
      <c r="E133" t="s">
        <v>0</v>
      </c>
      <c r="F133" t="s">
        <v>0</v>
      </c>
      <c r="G133" t="str">
        <f>T("CHEYENNE")</f>
        <v>CHEYENNE</v>
      </c>
      <c r="H133" t="str">
        <f t="shared" si="22"/>
        <v>WY </v>
      </c>
      <c r="I133" s="1">
        <f>N(82003)</f>
        <v>82003</v>
      </c>
      <c r="J133" s="1">
        <f t="shared" si="23"/>
        <v>3077756058</v>
      </c>
      <c r="K133" s="1">
        <f>N(3077756129)</f>
        <v>3077756129</v>
      </c>
    </row>
    <row r="134" spans="1:11" ht="12.75">
      <c r="A134" s="1" t="s">
        <v>11</v>
      </c>
      <c r="B134" t="str">
        <f>T("WY950 DIV OF SUPPORT SVCS")</f>
        <v>WY950 DIV OF SUPPORT SVCS</v>
      </c>
      <c r="C134" t="str">
        <f>T("2515 WARREN AVENUE")</f>
        <v>2515 WARREN AVENUE</v>
      </c>
      <c r="D134" t="str">
        <f>T("ATTN: KERMIT JOHNSON")</f>
        <v>ATTN: KERMIT JOHNSON</v>
      </c>
      <c r="E134" t="s">
        <v>0</v>
      </c>
      <c r="F134" t="s">
        <v>0</v>
      </c>
      <c r="G134" t="str">
        <f>T("CHEYENNE")</f>
        <v>CHEYENNE</v>
      </c>
      <c r="H134" t="str">
        <f>T("WY ")</f>
        <v>WY </v>
      </c>
      <c r="I134" s="1">
        <f>N(82003)</f>
        <v>82003</v>
      </c>
      <c r="J134" s="1">
        <f>N(3077756058)</f>
        <v>3077756058</v>
      </c>
      <c r="K134" s="1">
        <f>N(3077756129)</f>
        <v>3077756129</v>
      </c>
    </row>
    <row r="135" spans="1:11" ht="12.75">
      <c r="A135" s="1" t="s">
        <v>11</v>
      </c>
      <c r="B135" t="str">
        <f>T("AK020 FAIRBANKS DIST OFF")</f>
        <v>AK020 FAIRBANKS DIST OFF</v>
      </c>
      <c r="C135" t="str">
        <f>T("6881 ABBOTT LOOP RD")</f>
        <v>6881 ABBOTT LOOP RD</v>
      </c>
      <c r="D135" t="str">
        <f>T("ATTN: ROXANN BENBOW")</f>
        <v>ATTN: ROXANN BENBOW</v>
      </c>
      <c r="E135" t="s">
        <v>0</v>
      </c>
      <c r="F135" t="s">
        <v>0</v>
      </c>
      <c r="G135" t="str">
        <f>T("ANCHORAGE")</f>
        <v>ANCHORAGE</v>
      </c>
      <c r="H135" t="str">
        <f>T("AK ")</f>
        <v>AK </v>
      </c>
      <c r="I135" s="1">
        <f>N(995070259)</f>
        <v>995070259</v>
      </c>
      <c r="J135" s="1">
        <f>N(9076945652)</f>
        <v>9076945652</v>
      </c>
      <c r="K135" s="1">
        <f>N(9072671434)</f>
        <v>9072671434</v>
      </c>
    </row>
    <row r="136" spans="1:11" ht="12.75">
      <c r="A136" s="1" t="s">
        <v>11</v>
      </c>
      <c r="B136" t="str">
        <f>T("AK040 ANCHORAGE FIELD OFC")</f>
        <v>AK040 ANCHORAGE FIELD OFC</v>
      </c>
      <c r="C136" t="str">
        <f>T("6881 ABBOTT LOOP RD")</f>
        <v>6881 ABBOTT LOOP RD</v>
      </c>
      <c r="D136" t="str">
        <f aca="true" t="shared" si="24" ref="D136:D141">T("ATTN: VICKY HAWKINSON")</f>
        <v>ATTN: VICKY HAWKINSON</v>
      </c>
      <c r="E136" t="s">
        <v>0</v>
      </c>
      <c r="F136" t="s">
        <v>0</v>
      </c>
      <c r="G136" t="str">
        <f>T("ANCHORAGE")</f>
        <v>ANCHORAGE</v>
      </c>
      <c r="H136" t="str">
        <f>T("AK ")</f>
        <v>AK </v>
      </c>
      <c r="I136" s="1">
        <f>N(995070259)</f>
        <v>995070259</v>
      </c>
      <c r="J136" s="1">
        <f aca="true" t="shared" si="25" ref="J136:J141">N(9072671323)</f>
        <v>9072671323</v>
      </c>
      <c r="K136" s="1">
        <f>N(9072671434)</f>
        <v>9072671434</v>
      </c>
    </row>
    <row r="137" spans="1:11" ht="12.75">
      <c r="A137" s="1" t="s">
        <v>11</v>
      </c>
      <c r="B137" t="str">
        <f>T("AK050 GLENNALLEN FIELD OFC")</f>
        <v>AK050 GLENNALLEN FIELD OFC</v>
      </c>
      <c r="C137" t="str">
        <f aca="true" t="shared" si="26" ref="C137:C144">T("6881 ABBOTT LOOP RD")</f>
        <v>6881 ABBOTT LOOP RD</v>
      </c>
      <c r="D137" t="str">
        <f t="shared" si="24"/>
        <v>ATTN: VICKY HAWKINSON</v>
      </c>
      <c r="E137" t="s">
        <v>0</v>
      </c>
      <c r="F137" t="s">
        <v>0</v>
      </c>
      <c r="G137" t="str">
        <f aca="true" t="shared" si="27" ref="G137:G144">T("ANCHORAGE")</f>
        <v>ANCHORAGE</v>
      </c>
      <c r="H137" t="str">
        <f aca="true" t="shared" si="28" ref="H137:H144">T("AK ")</f>
        <v>AK </v>
      </c>
      <c r="I137" s="1">
        <f aca="true" t="shared" si="29" ref="I137:I144">N(995070259)</f>
        <v>995070259</v>
      </c>
      <c r="J137" s="1">
        <f t="shared" si="25"/>
        <v>9072671323</v>
      </c>
      <c r="K137" s="1">
        <f aca="true" t="shared" si="30" ref="K137:K144">N(9072671434)</f>
        <v>9072671434</v>
      </c>
    </row>
    <row r="138" spans="1:11" ht="12.75">
      <c r="A138" s="1" t="s">
        <v>11</v>
      </c>
      <c r="B138" t="str">
        <f>T("AK310 AK FIRE SVC MANAGERS OFF")</f>
        <v>AK310 AK FIRE SVC MANAGERS OFF</v>
      </c>
      <c r="C138" t="str">
        <f t="shared" si="26"/>
        <v>6881 ABBOTT LOOP RD</v>
      </c>
      <c r="D138" t="str">
        <f t="shared" si="24"/>
        <v>ATTN: VICKY HAWKINSON</v>
      </c>
      <c r="E138" t="s">
        <v>0</v>
      </c>
      <c r="F138" t="s">
        <v>0</v>
      </c>
      <c r="G138" t="str">
        <f t="shared" si="27"/>
        <v>ANCHORAGE</v>
      </c>
      <c r="H138" t="str">
        <f t="shared" si="28"/>
        <v>AK </v>
      </c>
      <c r="I138" s="1">
        <f t="shared" si="29"/>
        <v>995070259</v>
      </c>
      <c r="J138" s="1">
        <f t="shared" si="25"/>
        <v>9072671323</v>
      </c>
      <c r="K138" s="1">
        <f t="shared" si="30"/>
        <v>9072671434</v>
      </c>
    </row>
    <row r="139" spans="1:11" ht="12.75">
      <c r="A139" s="1" t="s">
        <v>11</v>
      </c>
      <c r="B139" t="str">
        <f>T("AK910 OFC OF STATE DIRECTOR")</f>
        <v>AK910 OFC OF STATE DIRECTOR</v>
      </c>
      <c r="C139" t="str">
        <f t="shared" si="26"/>
        <v>6881 ABBOTT LOOP RD</v>
      </c>
      <c r="D139" t="str">
        <f t="shared" si="24"/>
        <v>ATTN: VICKY HAWKINSON</v>
      </c>
      <c r="E139" t="s">
        <v>0</v>
      </c>
      <c r="F139" t="s">
        <v>0</v>
      </c>
      <c r="G139" t="str">
        <f t="shared" si="27"/>
        <v>ANCHORAGE</v>
      </c>
      <c r="H139" t="str">
        <f t="shared" si="28"/>
        <v>AK </v>
      </c>
      <c r="I139" s="1">
        <f t="shared" si="29"/>
        <v>995070259</v>
      </c>
      <c r="J139" s="1">
        <f t="shared" si="25"/>
        <v>9072671323</v>
      </c>
      <c r="K139" s="1">
        <f t="shared" si="30"/>
        <v>9072671434</v>
      </c>
    </row>
    <row r="140" spans="1:11" ht="12.75">
      <c r="A140" s="1" t="s">
        <v>11</v>
      </c>
      <c r="B140" t="str">
        <f>T("AK920 DIV OF CADASTRL SRVY/GM")</f>
        <v>AK920 DIV OF CADASTRL SRVY/GM</v>
      </c>
      <c r="C140" t="str">
        <f t="shared" si="26"/>
        <v>6881 ABBOTT LOOP RD</v>
      </c>
      <c r="D140" t="str">
        <f t="shared" si="24"/>
        <v>ATTN: VICKY HAWKINSON</v>
      </c>
      <c r="E140" t="s">
        <v>0</v>
      </c>
      <c r="F140" t="s">
        <v>0</v>
      </c>
      <c r="G140" t="str">
        <f t="shared" si="27"/>
        <v>ANCHORAGE</v>
      </c>
      <c r="H140" t="str">
        <f t="shared" si="28"/>
        <v>AK </v>
      </c>
      <c r="I140" s="1">
        <f t="shared" si="29"/>
        <v>995070259</v>
      </c>
      <c r="J140" s="1">
        <f t="shared" si="25"/>
        <v>9072671323</v>
      </c>
      <c r="K140" s="1">
        <f t="shared" si="30"/>
        <v>9072671434</v>
      </c>
    </row>
    <row r="141" spans="1:11" ht="12.75">
      <c r="A141" s="1" t="s">
        <v>11</v>
      </c>
      <c r="B141" t="str">
        <f>T("AK930 DIV OF LANDS MINL &amp; RES")</f>
        <v>AK930 DIV OF LANDS MINL &amp; RES</v>
      </c>
      <c r="C141" t="str">
        <f t="shared" si="26"/>
        <v>6881 ABBOTT LOOP RD</v>
      </c>
      <c r="D141" t="str">
        <f t="shared" si="24"/>
        <v>ATTN: VICKY HAWKINSON</v>
      </c>
      <c r="E141" t="s">
        <v>0</v>
      </c>
      <c r="F141" t="s">
        <v>0</v>
      </c>
      <c r="G141" t="str">
        <f t="shared" si="27"/>
        <v>ANCHORAGE</v>
      </c>
      <c r="H141" t="str">
        <f t="shared" si="28"/>
        <v>AK </v>
      </c>
      <c r="I141" s="1">
        <f t="shared" si="29"/>
        <v>995070259</v>
      </c>
      <c r="J141" s="1">
        <f t="shared" si="25"/>
        <v>9072671323</v>
      </c>
      <c r="K141" s="1">
        <f t="shared" si="30"/>
        <v>9072671434</v>
      </c>
    </row>
    <row r="142" spans="1:11" ht="12.75">
      <c r="A142" s="1" t="s">
        <v>11</v>
      </c>
      <c r="B142" t="str">
        <f>T("AK950 DIV OF SPT SVCS")</f>
        <v>AK950 DIV OF SPT SVCS</v>
      </c>
      <c r="C142" t="str">
        <f t="shared" si="26"/>
        <v>6881 ABBOTT LOOP RD</v>
      </c>
      <c r="D142" t="str">
        <f>T("ATTN: VICKY HAWKINSON")</f>
        <v>ATTN: VICKY HAWKINSON</v>
      </c>
      <c r="E142" t="s">
        <v>0</v>
      </c>
      <c r="F142" t="s">
        <v>0</v>
      </c>
      <c r="G142" t="str">
        <f t="shared" si="27"/>
        <v>ANCHORAGE</v>
      </c>
      <c r="H142" t="str">
        <f t="shared" si="28"/>
        <v>AK </v>
      </c>
      <c r="I142" s="1">
        <f t="shared" si="29"/>
        <v>995070259</v>
      </c>
      <c r="J142" s="1">
        <f>N(9072671323)</f>
        <v>9072671323</v>
      </c>
      <c r="K142" s="1">
        <f t="shared" si="30"/>
        <v>9072671434</v>
      </c>
    </row>
    <row r="143" spans="1:11" ht="12.75">
      <c r="A143" s="1" t="s">
        <v>11</v>
      </c>
      <c r="B143" t="str">
        <f>T("AK960 DIV OF CONVEYANCE MGMT")</f>
        <v>AK960 DIV OF CONVEYANCE MGMT</v>
      </c>
      <c r="C143" t="str">
        <f t="shared" si="26"/>
        <v>6881 ABBOTT LOOP RD</v>
      </c>
      <c r="D143" t="str">
        <f>T("ATTN: VICKY HAWKINSON")</f>
        <v>ATTN: VICKY HAWKINSON</v>
      </c>
      <c r="E143" t="s">
        <v>0</v>
      </c>
      <c r="F143" t="s">
        <v>0</v>
      </c>
      <c r="G143" t="str">
        <f t="shared" si="27"/>
        <v>ANCHORAGE</v>
      </c>
      <c r="H143" t="str">
        <f t="shared" si="28"/>
        <v>AK </v>
      </c>
      <c r="I143" s="1">
        <f t="shared" si="29"/>
        <v>995070259</v>
      </c>
      <c r="J143" s="1">
        <f>N(9072671323)</f>
        <v>9072671323</v>
      </c>
      <c r="K143" s="1">
        <f t="shared" si="30"/>
        <v>9072671434</v>
      </c>
    </row>
    <row r="144" spans="1:11" ht="12.75">
      <c r="A144" s="1" t="s">
        <v>11</v>
      </c>
      <c r="B144" t="str">
        <f>T("AK990 OFC OF PIPELINE MONTRNG")</f>
        <v>AK990 OFC OF PIPELINE MONTRNG</v>
      </c>
      <c r="C144" t="str">
        <f t="shared" si="26"/>
        <v>6881 ABBOTT LOOP RD</v>
      </c>
      <c r="D144" t="str">
        <f>T("ATTN: VICKY HAWKINSON")</f>
        <v>ATTN: VICKY HAWKINSON</v>
      </c>
      <c r="E144" t="s">
        <v>0</v>
      </c>
      <c r="F144" t="s">
        <v>0</v>
      </c>
      <c r="G144" t="str">
        <f t="shared" si="27"/>
        <v>ANCHORAGE</v>
      </c>
      <c r="H144" t="str">
        <f t="shared" si="28"/>
        <v>AK </v>
      </c>
      <c r="I144" s="1">
        <f t="shared" si="29"/>
        <v>995070259</v>
      </c>
      <c r="J144" s="1">
        <f>N(9072671323)</f>
        <v>9072671323</v>
      </c>
      <c r="K144" s="1">
        <f t="shared" si="30"/>
        <v>9072671434</v>
      </c>
    </row>
    <row r="145" spans="1:11" ht="12.75">
      <c r="A145" s="1" t="s">
        <v>11</v>
      </c>
      <c r="B145" t="str">
        <f>T("AZ010 AZ STRIP FIELD OFC")</f>
        <v>AZ010 AZ STRIP FIELD OFC</v>
      </c>
      <c r="C145" t="str">
        <f>T("345 EAST RIVERSIDE DRIVE")</f>
        <v>345 EAST RIVERSIDE DRIVE</v>
      </c>
      <c r="D145" t="str">
        <f aca="true" t="shared" si="31" ref="D145:D154">T("ATTN:  ANDREA HUELSENBECK")</f>
        <v>ATTN:  ANDREA HUELSENBECK</v>
      </c>
      <c r="E145" t="s">
        <v>0</v>
      </c>
      <c r="F145" t="s">
        <v>0</v>
      </c>
      <c r="G145" t="str">
        <f>T("ST. GEORGE")</f>
        <v>ST. GEORGE</v>
      </c>
      <c r="H145" t="str">
        <f>T("UT ")</f>
        <v>UT </v>
      </c>
      <c r="I145" s="1">
        <f>N(847099000)</f>
        <v>847099000</v>
      </c>
      <c r="J145" s="1">
        <f aca="true" t="shared" si="32" ref="J145:J154">N(6024179266)</f>
        <v>6024179266</v>
      </c>
      <c r="K145" s="1">
        <f>N(4256883258)</f>
        <v>4256883258</v>
      </c>
    </row>
    <row r="146" spans="1:11" ht="12.75">
      <c r="A146" s="1" t="s">
        <v>11</v>
      </c>
      <c r="B146" t="str">
        <f>T("AZ020 PHOENIX FIELD OFC")</f>
        <v>AZ020 PHOENIX FIELD OFC</v>
      </c>
      <c r="C146" t="str">
        <f>T("2015 WEST DEER VALLEY ROAD")</f>
        <v>2015 WEST DEER VALLEY ROAD</v>
      </c>
      <c r="D146" t="str">
        <f t="shared" si="31"/>
        <v>ATTN:  ANDREA HUELSENBECK</v>
      </c>
      <c r="E146" t="s">
        <v>0</v>
      </c>
      <c r="F146" t="s">
        <v>0</v>
      </c>
      <c r="G146" t="str">
        <f>T("PHOENIX")</f>
        <v>PHOENIX</v>
      </c>
      <c r="H146" t="str">
        <f aca="true" t="shared" si="33" ref="H146:H154">T("AZ ")</f>
        <v>AZ </v>
      </c>
      <c r="I146" s="1">
        <f>N(850272099)</f>
        <v>850272099</v>
      </c>
      <c r="J146" s="1">
        <f t="shared" si="32"/>
        <v>6024179266</v>
      </c>
      <c r="K146" s="1">
        <f>N(6235805580)</f>
        <v>6235805580</v>
      </c>
    </row>
    <row r="147" spans="1:11" ht="12.75">
      <c r="A147" s="1" t="s">
        <v>11</v>
      </c>
      <c r="B147" t="str">
        <f>T("AZ030 KINGMAN FIELD OFC")</f>
        <v>AZ030 KINGMAN FIELD OFC</v>
      </c>
      <c r="C147" t="str">
        <f>T("2475 BEVERLY AVENUE")</f>
        <v>2475 BEVERLY AVENUE</v>
      </c>
      <c r="D147" t="str">
        <f t="shared" si="31"/>
        <v>ATTN:  ANDREA HUELSENBECK</v>
      </c>
      <c r="E147" t="s">
        <v>0</v>
      </c>
      <c r="F147" t="s">
        <v>0</v>
      </c>
      <c r="G147" t="str">
        <f>T("KINGMAN")</f>
        <v>KINGMAN</v>
      </c>
      <c r="H147" t="str">
        <f t="shared" si="33"/>
        <v>AZ </v>
      </c>
      <c r="I147" s="1">
        <f>N(864013629)</f>
        <v>864013629</v>
      </c>
      <c r="J147" s="1">
        <f t="shared" si="32"/>
        <v>6024179266</v>
      </c>
      <c r="K147" s="1">
        <f>N(5206924414)</f>
        <v>5206924414</v>
      </c>
    </row>
    <row r="148" spans="1:11" ht="12.75">
      <c r="A148" s="1" t="s">
        <v>11</v>
      </c>
      <c r="B148" t="str">
        <f>T("AZ040 SAFFORD FIELD OFC")</f>
        <v>AZ040 SAFFORD FIELD OFC</v>
      </c>
      <c r="C148" t="str">
        <f>T("711 14TH AVENUE")</f>
        <v>711 14TH AVENUE</v>
      </c>
      <c r="D148" t="str">
        <f t="shared" si="31"/>
        <v>ATTN:  ANDREA HUELSENBECK</v>
      </c>
      <c r="E148" t="s">
        <v>0</v>
      </c>
      <c r="F148" t="s">
        <v>0</v>
      </c>
      <c r="G148" t="str">
        <f>T("SAFFORD")</f>
        <v>SAFFORD</v>
      </c>
      <c r="H148" t="str">
        <f t="shared" si="33"/>
        <v>AZ </v>
      </c>
      <c r="I148" s="1">
        <f>N(855463321)</f>
        <v>855463321</v>
      </c>
      <c r="J148" s="1">
        <f t="shared" si="32"/>
        <v>6024179266</v>
      </c>
      <c r="K148" s="1">
        <f>N(5203484450)</f>
        <v>5203484450</v>
      </c>
    </row>
    <row r="149" spans="1:11" ht="12.75">
      <c r="A149" s="1" t="s">
        <v>11</v>
      </c>
      <c r="B149" t="str">
        <f>T("AZ050 YUMA FIELD OFC")</f>
        <v>AZ050 YUMA FIELD OFC</v>
      </c>
      <c r="C149" t="str">
        <f>T("2555 EAST GILA RIDGE ROAD")</f>
        <v>2555 EAST GILA RIDGE ROAD</v>
      </c>
      <c r="D149" t="str">
        <f t="shared" si="31"/>
        <v>ATTN:  ANDREA HUELSENBECK</v>
      </c>
      <c r="E149" t="s">
        <v>0</v>
      </c>
      <c r="F149" t="s">
        <v>0</v>
      </c>
      <c r="G149" t="str">
        <f>T("YUMA")</f>
        <v>YUMA</v>
      </c>
      <c r="H149" t="str">
        <f t="shared" si="33"/>
        <v>AZ </v>
      </c>
      <c r="I149" s="1">
        <f>N(853652240)</f>
        <v>853652240</v>
      </c>
      <c r="J149" s="1">
        <f t="shared" si="32"/>
        <v>6024179266</v>
      </c>
      <c r="K149" s="1">
        <f>N(5203173250)</f>
        <v>5203173250</v>
      </c>
    </row>
    <row r="150" spans="1:11" ht="12.75">
      <c r="A150" s="1" t="s">
        <v>11</v>
      </c>
      <c r="B150" t="str">
        <f>T("AZ060 TUCSON FIELD OFC")</f>
        <v>AZ060 TUCSON FIELD OFC</v>
      </c>
      <c r="C150" t="str">
        <f>T("12661 EAST BROADWAY")</f>
        <v>12661 EAST BROADWAY</v>
      </c>
      <c r="D150" t="str">
        <f t="shared" si="31"/>
        <v>ATTN:  ANDREA HUELSENBECK</v>
      </c>
      <c r="E150" t="s">
        <v>0</v>
      </c>
      <c r="F150" t="s">
        <v>0</v>
      </c>
      <c r="G150" t="str">
        <f>T("TUCSON")</f>
        <v>TUCSON</v>
      </c>
      <c r="H150" t="str">
        <f t="shared" si="33"/>
        <v>AZ </v>
      </c>
      <c r="I150" s="1">
        <f>N(857487208)</f>
        <v>857487208</v>
      </c>
      <c r="J150" s="1">
        <f t="shared" si="32"/>
        <v>6024179266</v>
      </c>
      <c r="K150" s="1">
        <f>N(5207510948)</f>
        <v>5207510948</v>
      </c>
    </row>
    <row r="151" spans="1:11" ht="12.75">
      <c r="A151" s="1" t="s">
        <v>11</v>
      </c>
      <c r="B151" t="str">
        <f>T("AZ070 LAKE HAVASU FIELD OFC")</f>
        <v>AZ070 LAKE HAVASU FIELD OFC</v>
      </c>
      <c r="C151" t="str">
        <f>T("2610 SWEETWATER AVENUE")</f>
        <v>2610 SWEETWATER AVENUE</v>
      </c>
      <c r="D151" t="str">
        <f t="shared" si="31"/>
        <v>ATTN:  ANDREA HUELSENBECK</v>
      </c>
      <c r="E151" t="s">
        <v>0</v>
      </c>
      <c r="F151" t="s">
        <v>0</v>
      </c>
      <c r="G151" t="str">
        <f>T("LAKE HAVASU CTY")</f>
        <v>LAKE HAVASU CTY</v>
      </c>
      <c r="H151" t="str">
        <f t="shared" si="33"/>
        <v>AZ </v>
      </c>
      <c r="I151" s="1">
        <f>N(864069071)</f>
        <v>864069071</v>
      </c>
      <c r="J151" s="1">
        <f t="shared" si="32"/>
        <v>6024179266</v>
      </c>
      <c r="K151" s="1">
        <f>N(5205051208)</f>
        <v>5205051208</v>
      </c>
    </row>
    <row r="152" spans="1:11" ht="12.75">
      <c r="A152" s="1" t="s">
        <v>11</v>
      </c>
      <c r="B152" t="str">
        <f>T("AZ910 OFC OF THE STATE DIR")</f>
        <v>AZ910 OFC OF THE STATE DIR</v>
      </c>
      <c r="C152" t="str">
        <f>T("222 N. CENTRAL AVENUE")</f>
        <v>222 N. CENTRAL AVENUE</v>
      </c>
      <c r="D152" t="str">
        <f t="shared" si="31"/>
        <v>ATTN:  ANDREA HUELSENBECK</v>
      </c>
      <c r="E152" t="s">
        <v>0</v>
      </c>
      <c r="F152" t="s">
        <v>0</v>
      </c>
      <c r="G152" t="str">
        <f>T("PHOENIX")</f>
        <v>PHOENIX</v>
      </c>
      <c r="H152" t="str">
        <f t="shared" si="33"/>
        <v>AZ </v>
      </c>
      <c r="I152" s="1">
        <f>N(850042203)</f>
        <v>850042203</v>
      </c>
      <c r="J152" s="1">
        <f t="shared" si="32"/>
        <v>6024179266</v>
      </c>
      <c r="K152" s="1">
        <f>N(6024179462)</f>
        <v>6024179462</v>
      </c>
    </row>
    <row r="153" spans="1:11" ht="12.75">
      <c r="A153" s="1" t="s">
        <v>11</v>
      </c>
      <c r="B153" t="str">
        <f>T("AZ930 RSCS DIV")</f>
        <v>AZ930 RSCS DIV</v>
      </c>
      <c r="C153" t="str">
        <f>T("222 N. CENTRAL AVENUE")</f>
        <v>222 N. CENTRAL AVENUE</v>
      </c>
      <c r="D153" t="str">
        <f t="shared" si="31"/>
        <v>ATTN:  ANDREA HUELSENBECK</v>
      </c>
      <c r="E153" t="s">
        <v>0</v>
      </c>
      <c r="F153" t="s">
        <v>0</v>
      </c>
      <c r="G153" t="str">
        <f>T("PHOENIX")</f>
        <v>PHOENIX</v>
      </c>
      <c r="H153" t="str">
        <f t="shared" si="33"/>
        <v>AZ </v>
      </c>
      <c r="I153" s="1">
        <f>N(850042203)</f>
        <v>850042203</v>
      </c>
      <c r="J153" s="1">
        <f t="shared" si="32"/>
        <v>6024179266</v>
      </c>
      <c r="K153" s="1">
        <f>N(6024179462)</f>
        <v>6024179462</v>
      </c>
    </row>
    <row r="154" spans="1:11" ht="12.75">
      <c r="A154" s="1" t="s">
        <v>11</v>
      </c>
      <c r="B154" t="str">
        <f>T("AZ950 BUSINESS &amp; SPT SVCS DIV")</f>
        <v>AZ950 BUSINESS &amp; SPT SVCS DIV</v>
      </c>
      <c r="C154" t="str">
        <f>T("222 N. CENTRAL AVENUE")</f>
        <v>222 N. CENTRAL AVENUE</v>
      </c>
      <c r="D154" t="str">
        <f t="shared" si="31"/>
        <v>ATTN:  ANDREA HUELSENBECK</v>
      </c>
      <c r="E154" t="s">
        <v>0</v>
      </c>
      <c r="F154" t="s">
        <v>0</v>
      </c>
      <c r="G154" t="str">
        <f>T("PHOENIX")</f>
        <v>PHOENIX</v>
      </c>
      <c r="H154" t="str">
        <f t="shared" si="33"/>
        <v>AZ </v>
      </c>
      <c r="I154" s="1">
        <f>N(850042203)</f>
        <v>850042203</v>
      </c>
      <c r="J154" s="1">
        <f t="shared" si="32"/>
        <v>6024179266</v>
      </c>
      <c r="K154" s="1">
        <f>N(6024179462)</f>
        <v>6024179462</v>
      </c>
    </row>
    <row r="155" spans="1:11" ht="12.75">
      <c r="A155" s="1" t="s">
        <v>11</v>
      </c>
      <c r="B155" t="str">
        <f>T("BC650 NATL PROPERTY &amp; SUPPORT")</f>
        <v>BC650 NATL PROPERTY &amp; SUPPORT</v>
      </c>
      <c r="C155" t="str">
        <f>T("DENVER FED CTR   BC 650")</f>
        <v>DENVER FED CTR   BC 650</v>
      </c>
      <c r="D155" t="str">
        <f>T("BUILDING 50")</f>
        <v>BUILDING 50</v>
      </c>
      <c r="E155" t="str">
        <f>T("P.O. BOX 25047")</f>
        <v>P.O. BOX 25047</v>
      </c>
      <c r="F155" t="str">
        <f>T("ATTN: SHIRLEY CAMPBELL")</f>
        <v>ATTN: SHIRLEY CAMPBELL</v>
      </c>
      <c r="G155" t="str">
        <f>T("DENVER")</f>
        <v>DENVER</v>
      </c>
      <c r="H155" t="str">
        <f>T("CO ")</f>
        <v>CO </v>
      </c>
      <c r="I155" s="1">
        <f>N(802250047)</f>
        <v>802250047</v>
      </c>
      <c r="J155" s="1">
        <f>N(3032363586)</f>
        <v>3032363586</v>
      </c>
      <c r="K155" s="1">
        <f>N(3032360561)</f>
        <v>3032360561</v>
      </c>
    </row>
    <row r="156" spans="1:11" ht="12.75">
      <c r="A156" s="1" t="s">
        <v>11</v>
      </c>
      <c r="B156" t="str">
        <f>T("CA610 CALIF DESERT DIST OFC")</f>
        <v>CA610 CALIF DESERT DIST OFC</v>
      </c>
      <c r="C156" t="str">
        <f aca="true" t="shared" si="34" ref="C156:C161">T("BUREAU OF LAND MANAGEMENT")</f>
        <v>BUREAU OF LAND MANAGEMENT</v>
      </c>
      <c r="D156" t="str">
        <f>T("6221 BOX SPRINGS BLVD.")</f>
        <v>6221 BOX SPRINGS BLVD.</v>
      </c>
      <c r="E156" t="s">
        <v>0</v>
      </c>
      <c r="F156" t="s">
        <v>0</v>
      </c>
      <c r="G156" t="str">
        <f>T("RIVERSIDE")</f>
        <v>RIVERSIDE</v>
      </c>
      <c r="H156" t="str">
        <f aca="true" t="shared" si="35" ref="H156:H161">T("CA ")</f>
        <v>CA </v>
      </c>
      <c r="I156" s="1">
        <f>N(92507)</f>
        <v>92507</v>
      </c>
      <c r="J156" s="1">
        <f>N(9096975200)</f>
        <v>9096975200</v>
      </c>
      <c r="K156" s="1">
        <f>N(9096975299)</f>
        <v>9096975299</v>
      </c>
    </row>
    <row r="157" spans="1:11" ht="12.75">
      <c r="A157" s="1" t="s">
        <v>11</v>
      </c>
      <c r="B157" t="str">
        <f>T("CA300 NORTHERN CALIFORNIA")</f>
        <v>CA300 NORTHERN CALIFORNIA</v>
      </c>
      <c r="C157" t="str">
        <f t="shared" si="34"/>
        <v>BUREAU OF LAND MANAGEMENT</v>
      </c>
      <c r="D157" t="str">
        <f>T("2950 RIVERSIDE DRIVE")</f>
        <v>2950 RIVERSIDE DRIVE</v>
      </c>
      <c r="E157" t="s">
        <v>0</v>
      </c>
      <c r="F157" t="s">
        <v>0</v>
      </c>
      <c r="G157" t="str">
        <f>T("SUSANVILLE")</f>
        <v>SUSANVILLE</v>
      </c>
      <c r="H157" t="str">
        <f t="shared" si="35"/>
        <v>CA </v>
      </c>
      <c r="I157" s="1">
        <f>N(96130)</f>
        <v>96130</v>
      </c>
      <c r="J157" s="1">
        <f>N(5302570456)</f>
        <v>5302570456</v>
      </c>
      <c r="K157" s="1">
        <f>N(5302574831)</f>
        <v>5302574831</v>
      </c>
    </row>
    <row r="158" spans="1:11" ht="12.75">
      <c r="A158" s="1" t="s">
        <v>11</v>
      </c>
      <c r="B158" t="str">
        <f>T("CA910 OFC OF STATE DIRECTOR")</f>
        <v>CA910 OFC OF STATE DIRECTOR</v>
      </c>
      <c r="C158" t="str">
        <f t="shared" si="34"/>
        <v>BUREAU OF LAND MANAGEMENT</v>
      </c>
      <c r="D158" t="str">
        <f>T("2800 COTTAGE WAY  RM W 1834")</f>
        <v>2800 COTTAGE WAY  RM W 1834</v>
      </c>
      <c r="E158" t="s">
        <v>0</v>
      </c>
      <c r="F158" t="s">
        <v>0</v>
      </c>
      <c r="G158" t="str">
        <f>T("SACRAMENTO")</f>
        <v>SACRAMENTO</v>
      </c>
      <c r="H158" t="str">
        <f t="shared" si="35"/>
        <v>CA </v>
      </c>
      <c r="I158" s="1">
        <f>N(95825)</f>
        <v>95825</v>
      </c>
      <c r="J158" s="1">
        <f>N(9169784600)</f>
        <v>9169784600</v>
      </c>
      <c r="K158" s="1">
        <f>N(9169784620)</f>
        <v>9169784620</v>
      </c>
    </row>
    <row r="159" spans="1:11" ht="12.75">
      <c r="A159" s="1" t="s">
        <v>11</v>
      </c>
      <c r="B159" t="str">
        <f>T("CA920 DIV OF ENERGY &amp; MINERALS")</f>
        <v>CA920 DIV OF ENERGY &amp; MINERALS</v>
      </c>
      <c r="C159" t="str">
        <f t="shared" si="34"/>
        <v>BUREAU OF LAND MANAGEMENT</v>
      </c>
      <c r="D159" t="str">
        <f>T("2800 COTTAGE WAY  RM W 1834")</f>
        <v>2800 COTTAGE WAY  RM W 1834</v>
      </c>
      <c r="E159" t="s">
        <v>0</v>
      </c>
      <c r="F159" t="s">
        <v>0</v>
      </c>
      <c r="G159" t="str">
        <f>T("SACRAMENTO")</f>
        <v>SACRAMENTO</v>
      </c>
      <c r="H159" t="str">
        <f t="shared" si="35"/>
        <v>CA </v>
      </c>
      <c r="I159" s="1">
        <f>N(95825)</f>
        <v>95825</v>
      </c>
      <c r="J159" s="1">
        <f>N(9169784361)</f>
        <v>9169784361</v>
      </c>
      <c r="K159" s="1">
        <f>N(9169784389)</f>
        <v>9169784389</v>
      </c>
    </row>
    <row r="160" spans="1:11" ht="12.75">
      <c r="A160" s="1" t="s">
        <v>11</v>
      </c>
      <c r="B160" t="str">
        <f>T("CA930 DIV OF NAT RES")</f>
        <v>CA930 DIV OF NAT RES</v>
      </c>
      <c r="C160" t="str">
        <f t="shared" si="34"/>
        <v>BUREAU OF LAND MANAGEMENT</v>
      </c>
      <c r="D160" t="str">
        <f>T("2800 COTTAGE WAY  RM W 1834")</f>
        <v>2800 COTTAGE WAY  RM W 1834</v>
      </c>
      <c r="E160" t="s">
        <v>0</v>
      </c>
      <c r="F160" t="s">
        <v>0</v>
      </c>
      <c r="G160" t="str">
        <f>T("SACRAMENTO")</f>
        <v>SACRAMENTO</v>
      </c>
      <c r="H160" t="str">
        <f t="shared" si="35"/>
        <v>CA </v>
      </c>
      <c r="I160" s="1">
        <f>N(95825)</f>
        <v>95825</v>
      </c>
      <c r="J160" s="1">
        <f>N(9169784630)</f>
        <v>9169784630</v>
      </c>
      <c r="K160" s="1">
        <f>N(9169784657)</f>
        <v>9169784657</v>
      </c>
    </row>
    <row r="161" spans="1:11" ht="12.75">
      <c r="A161" s="1" t="s">
        <v>11</v>
      </c>
      <c r="B161" t="str">
        <f>T("CA940 DIV OF SPT SVCS")</f>
        <v>CA940 DIV OF SPT SVCS</v>
      </c>
      <c r="C161" t="str">
        <f t="shared" si="34"/>
        <v>BUREAU OF LAND MANAGEMENT</v>
      </c>
      <c r="D161" t="str">
        <f>T("2800 COTTAGE WAY  RM W 1834")</f>
        <v>2800 COTTAGE WAY  RM W 1834</v>
      </c>
      <c r="E161" t="s">
        <v>0</v>
      </c>
      <c r="F161" t="s">
        <v>0</v>
      </c>
      <c r="G161" t="str">
        <f>T("SACRAMENTO")</f>
        <v>SACRAMENTO</v>
      </c>
      <c r="H161" t="str">
        <f t="shared" si="35"/>
        <v>CA </v>
      </c>
      <c r="I161" s="1">
        <f>N(95825)</f>
        <v>95825</v>
      </c>
      <c r="J161" s="1">
        <f>N(9169784524)</f>
        <v>9169784524</v>
      </c>
      <c r="K161" s="1">
        <f>N(9169784444)</f>
        <v>9169784444</v>
      </c>
    </row>
    <row r="162" spans="1:11" ht="12.75">
      <c r="A162" s="1" t="s">
        <v>11</v>
      </c>
      <c r="B162" t="str">
        <f>T("CO600 WSTRN SLP CTR  MONTROSE")</f>
        <v>CO600 WSTRN SLP CTR  MONTROSE</v>
      </c>
      <c r="C162" t="str">
        <f>T("2465 SOUTH TOWNSEND")</f>
        <v>2465 SOUTH TOWNSEND</v>
      </c>
      <c r="D162" t="str">
        <f aca="true" t="shared" si="36" ref="D162:D167">T("ATTN: FRANK GUTIERREZ")</f>
        <v>ATTN: FRANK GUTIERREZ</v>
      </c>
      <c r="E162" t="s">
        <v>0</v>
      </c>
      <c r="F162" t="s">
        <v>0</v>
      </c>
      <c r="G162" t="str">
        <f>T("MONTROSE")</f>
        <v>MONTROSE</v>
      </c>
      <c r="H162" t="str">
        <f aca="true" t="shared" si="37" ref="H162:H167">T("CO ")</f>
        <v>CO </v>
      </c>
      <c r="I162" s="1">
        <f>N(81401)</f>
        <v>81401</v>
      </c>
      <c r="J162" s="1">
        <f>N(9702405300)</f>
        <v>9702405300</v>
      </c>
      <c r="K162" s="1">
        <f>N(9702405368)</f>
        <v>9702405368</v>
      </c>
    </row>
    <row r="163" spans="1:11" ht="12.75">
      <c r="A163" s="1" t="s">
        <v>11</v>
      </c>
      <c r="B163" t="str">
        <f>T("CO500 SAN LUIS VALLEY PUB LND")</f>
        <v>CO500 SAN LUIS VALLEY PUB LND</v>
      </c>
      <c r="C163" t="str">
        <f>T("3170 EAST MAIN ST.")</f>
        <v>3170 EAST MAIN ST.</v>
      </c>
      <c r="D163" t="str">
        <f t="shared" si="36"/>
        <v>ATTN: FRANK GUTIERREZ</v>
      </c>
      <c r="E163" t="s">
        <v>0</v>
      </c>
      <c r="F163" t="s">
        <v>0</v>
      </c>
      <c r="G163" t="str">
        <f>T("CANON CITY")</f>
        <v>CANON CITY</v>
      </c>
      <c r="H163" t="str">
        <f t="shared" si="37"/>
        <v>CO </v>
      </c>
      <c r="I163" s="1">
        <f>N(81212)</f>
        <v>81212</v>
      </c>
      <c r="J163" s="1">
        <f>N(7192698500)</f>
        <v>7192698500</v>
      </c>
      <c r="K163" s="1">
        <f>N(7192698599)</f>
        <v>7192698599</v>
      </c>
    </row>
    <row r="164" spans="1:11" ht="12.75">
      <c r="A164" s="1" t="s">
        <v>11</v>
      </c>
      <c r="B164" t="str">
        <f>T("CO600 WSTRN SLP CENTER  GJ")</f>
        <v>CO600 WSTRN SLP CENTER  GJ</v>
      </c>
      <c r="C164" t="str">
        <f>T("2815 H ROAD")</f>
        <v>2815 H ROAD</v>
      </c>
      <c r="D164" t="str">
        <f t="shared" si="36"/>
        <v>ATTN: FRANK GUTIERREZ</v>
      </c>
      <c r="E164" t="s">
        <v>0</v>
      </c>
      <c r="F164" t="s">
        <v>0</v>
      </c>
      <c r="G164" t="str">
        <f>T("GRAND JUNCTION")</f>
        <v>GRAND JUNCTION</v>
      </c>
      <c r="H164" t="str">
        <f t="shared" si="37"/>
        <v>CO </v>
      </c>
      <c r="I164" s="1">
        <f>N(81506)</f>
        <v>81506</v>
      </c>
      <c r="J164" s="1">
        <f>N(9702443000)</f>
        <v>9702443000</v>
      </c>
      <c r="K164" s="1">
        <f>N(9702443083)</f>
        <v>9702443083</v>
      </c>
    </row>
    <row r="165" spans="1:11" ht="12.75">
      <c r="A165" s="1" t="s">
        <v>11</v>
      </c>
      <c r="B165" t="str">
        <f>T("CO910 OFC OF STATE DIRECTOR")</f>
        <v>CO910 OFC OF STATE DIRECTOR</v>
      </c>
      <c r="C165" t="str">
        <f>T("2850 YOUNGFIELD ST")</f>
        <v>2850 YOUNGFIELD ST</v>
      </c>
      <c r="D165" t="str">
        <f t="shared" si="36"/>
        <v>ATTN: FRANK GUTIERREZ</v>
      </c>
      <c r="E165" t="s">
        <v>0</v>
      </c>
      <c r="F165" t="s">
        <v>0</v>
      </c>
      <c r="G165" t="str">
        <f>T("LAKEWOOD")</f>
        <v>LAKEWOOD</v>
      </c>
      <c r="H165" t="str">
        <f t="shared" si="37"/>
        <v>CO </v>
      </c>
      <c r="I165" s="1">
        <f>N(802157076)</f>
        <v>802157076</v>
      </c>
      <c r="J165" s="1">
        <f>N(3032393700)</f>
        <v>3032393700</v>
      </c>
      <c r="K165" s="1">
        <f>N(3032393933)</f>
        <v>3032393933</v>
      </c>
    </row>
    <row r="166" spans="1:11" ht="12.75">
      <c r="A166" s="1" t="s">
        <v>11</v>
      </c>
      <c r="B166" t="str">
        <f>T("CO930 DIV OF RESOURCE SVCS")</f>
        <v>CO930 DIV OF RESOURCE SVCS</v>
      </c>
      <c r="C166" t="str">
        <f>T("2850 YOUNGFIELD ST")</f>
        <v>2850 YOUNGFIELD ST</v>
      </c>
      <c r="D166" t="str">
        <f t="shared" si="36"/>
        <v>ATTN: FRANK GUTIERREZ</v>
      </c>
      <c r="E166" t="s">
        <v>0</v>
      </c>
      <c r="F166" t="s">
        <v>0</v>
      </c>
      <c r="G166" t="str">
        <f>T("LAKEWOOD")</f>
        <v>LAKEWOOD</v>
      </c>
      <c r="H166" t="str">
        <f t="shared" si="37"/>
        <v>CO </v>
      </c>
      <c r="I166" s="1">
        <f>N(802157076)</f>
        <v>802157076</v>
      </c>
      <c r="J166" s="1">
        <f>N(3032393760)</f>
        <v>3032393760</v>
      </c>
      <c r="K166" s="1">
        <f>N(3032393933)</f>
        <v>3032393933</v>
      </c>
    </row>
    <row r="167" spans="1:11" ht="12.75">
      <c r="A167" s="1" t="s">
        <v>11</v>
      </c>
      <c r="B167" t="str">
        <f>T("CO950 DIV OF SUPPORT SVCS")</f>
        <v>CO950 DIV OF SUPPORT SVCS</v>
      </c>
      <c r="C167" t="str">
        <f>T("2850 YOUNGFIELD ST")</f>
        <v>2850 YOUNGFIELD ST</v>
      </c>
      <c r="D167" t="str">
        <f t="shared" si="36"/>
        <v>ATTN: FRANK GUTIERREZ</v>
      </c>
      <c r="E167" t="s">
        <v>0</v>
      </c>
      <c r="F167" t="s">
        <v>0</v>
      </c>
      <c r="G167" t="str">
        <f>T("LAKEWOOD")</f>
        <v>LAKEWOOD</v>
      </c>
      <c r="H167" t="str">
        <f t="shared" si="37"/>
        <v>CO </v>
      </c>
      <c r="I167" s="1">
        <f>N(802157076)</f>
        <v>802157076</v>
      </c>
      <c r="J167" s="1">
        <f>N(3032393800)</f>
        <v>3032393800</v>
      </c>
      <c r="K167" s="1">
        <f>N(3032393933)</f>
        <v>3032393933</v>
      </c>
    </row>
    <row r="168" spans="1:11" ht="12.75">
      <c r="A168" s="1" t="s">
        <v>11</v>
      </c>
      <c r="B168" t="str">
        <f>T("ES020 JACKSON FIELD OFC")</f>
        <v>ES020 JACKSON FIELD OFC</v>
      </c>
      <c r="C168" t="str">
        <f aca="true" t="shared" si="38" ref="C168:C173">T("7450 BOSTON BLVD")</f>
        <v>7450 BOSTON BLVD</v>
      </c>
      <c r="D168" t="str">
        <f aca="true" t="shared" si="39" ref="D168:D173">T("ATTN: TONY MAYFIELD")</f>
        <v>ATTN: TONY MAYFIELD</v>
      </c>
      <c r="E168" t="s">
        <v>0</v>
      </c>
      <c r="F168" t="s">
        <v>0</v>
      </c>
      <c r="G168" t="str">
        <f aca="true" t="shared" si="40" ref="G168:G173">T("SPRINGFIELD")</f>
        <v>SPRINGFIELD</v>
      </c>
      <c r="H168" t="str">
        <f aca="true" t="shared" si="41" ref="H168:H173">T("VA ")</f>
        <v>VA </v>
      </c>
      <c r="I168" s="1">
        <f aca="true" t="shared" si="42" ref="I168:I173">N(22153)</f>
        <v>22153</v>
      </c>
      <c r="J168" s="1">
        <f aca="true" t="shared" si="43" ref="J168:J173">N(7034401588)</f>
        <v>7034401588</v>
      </c>
      <c r="K168" s="1">
        <f aca="true" t="shared" si="44" ref="K168:K173">N(7034401599)</f>
        <v>7034401599</v>
      </c>
    </row>
    <row r="169" spans="1:11" ht="12.75">
      <c r="A169" s="1" t="s">
        <v>11</v>
      </c>
      <c r="B169" t="str">
        <f>T("ES030 MILWAUKEE FIELD OFC")</f>
        <v>ES030 MILWAUKEE FIELD OFC</v>
      </c>
      <c r="C169" t="str">
        <f t="shared" si="38"/>
        <v>7450 BOSTON BLVD</v>
      </c>
      <c r="D169" t="str">
        <f t="shared" si="39"/>
        <v>ATTN: TONY MAYFIELD</v>
      </c>
      <c r="E169" t="s">
        <v>0</v>
      </c>
      <c r="F169" t="s">
        <v>0</v>
      </c>
      <c r="G169" t="str">
        <f t="shared" si="40"/>
        <v>SPRINGFIELD</v>
      </c>
      <c r="H169" t="str">
        <f t="shared" si="41"/>
        <v>VA </v>
      </c>
      <c r="I169" s="1">
        <f t="shared" si="42"/>
        <v>22153</v>
      </c>
      <c r="J169" s="1">
        <f t="shared" si="43"/>
        <v>7034401588</v>
      </c>
      <c r="K169" s="1">
        <f t="shared" si="44"/>
        <v>7034401599</v>
      </c>
    </row>
    <row r="170" spans="1:11" ht="12.75">
      <c r="A170" s="1" t="s">
        <v>11</v>
      </c>
      <c r="B170" t="str">
        <f>T("ES910 OFC OF STATE DIRECTOR")</f>
        <v>ES910 OFC OF STATE DIRECTOR</v>
      </c>
      <c r="C170" t="str">
        <f t="shared" si="38"/>
        <v>7450 BOSTON BLVD</v>
      </c>
      <c r="D170" t="str">
        <f t="shared" si="39"/>
        <v>ATTN: TONY MAYFIELD</v>
      </c>
      <c r="E170" t="s">
        <v>0</v>
      </c>
      <c r="F170" t="s">
        <v>0</v>
      </c>
      <c r="G170" t="str">
        <f t="shared" si="40"/>
        <v>SPRINGFIELD</v>
      </c>
      <c r="H170" t="str">
        <f t="shared" si="41"/>
        <v>VA </v>
      </c>
      <c r="I170" s="1">
        <f t="shared" si="42"/>
        <v>22153</v>
      </c>
      <c r="J170" s="1">
        <f t="shared" si="43"/>
        <v>7034401588</v>
      </c>
      <c r="K170" s="1">
        <f t="shared" si="44"/>
        <v>7034401599</v>
      </c>
    </row>
    <row r="171" spans="1:11" ht="12.75">
      <c r="A171" s="1" t="s">
        <v>11</v>
      </c>
      <c r="B171" t="str">
        <f>T("ES930 DIV OF NATURAL RESOURCES")</f>
        <v>ES930 DIV OF NATURAL RESOURCES</v>
      </c>
      <c r="C171" t="str">
        <f t="shared" si="38"/>
        <v>7450 BOSTON BLVD</v>
      </c>
      <c r="D171" t="str">
        <f t="shared" si="39"/>
        <v>ATTN: TONY MAYFIELD</v>
      </c>
      <c r="E171" t="s">
        <v>0</v>
      </c>
      <c r="F171" t="s">
        <v>0</v>
      </c>
      <c r="G171" t="str">
        <f t="shared" si="40"/>
        <v>SPRINGFIELD</v>
      </c>
      <c r="H171" t="str">
        <f t="shared" si="41"/>
        <v>VA </v>
      </c>
      <c r="I171" s="1">
        <f t="shared" si="42"/>
        <v>22153</v>
      </c>
      <c r="J171" s="1">
        <f t="shared" si="43"/>
        <v>7034401588</v>
      </c>
      <c r="K171" s="1">
        <f t="shared" si="44"/>
        <v>7034401599</v>
      </c>
    </row>
    <row r="172" spans="1:11" ht="12.75">
      <c r="A172" s="1" t="s">
        <v>11</v>
      </c>
      <c r="B172" t="str">
        <f>T("ES950 DIV OF BUS PRACTICES")</f>
        <v>ES950 DIV OF BUS PRACTICES</v>
      </c>
      <c r="C172" t="str">
        <f t="shared" si="38"/>
        <v>7450 BOSTON BLVD</v>
      </c>
      <c r="D172" t="str">
        <f t="shared" si="39"/>
        <v>ATTN: TONY MAYFIELD</v>
      </c>
      <c r="E172" t="s">
        <v>0</v>
      </c>
      <c r="F172" t="s">
        <v>0</v>
      </c>
      <c r="G172" t="str">
        <f t="shared" si="40"/>
        <v>SPRINGFIELD</v>
      </c>
      <c r="H172" t="str">
        <f t="shared" si="41"/>
        <v>VA </v>
      </c>
      <c r="I172" s="1">
        <f t="shared" si="42"/>
        <v>22153</v>
      </c>
      <c r="J172" s="1">
        <f t="shared" si="43"/>
        <v>7034401588</v>
      </c>
      <c r="K172" s="1">
        <f t="shared" si="44"/>
        <v>7034401599</v>
      </c>
    </row>
    <row r="173" spans="1:11" ht="12.75">
      <c r="A173" s="1" t="s">
        <v>11</v>
      </c>
      <c r="B173" t="str">
        <f>T("ES960 DIV OF CADASTRAL SVY/GR")</f>
        <v>ES960 DIV OF CADASTRAL SVY/GR</v>
      </c>
      <c r="C173" t="str">
        <f t="shared" si="38"/>
        <v>7450 BOSTON BLVD</v>
      </c>
      <c r="D173" t="str">
        <f t="shared" si="39"/>
        <v>ATTN: TONY MAYFIELD</v>
      </c>
      <c r="E173" t="s">
        <v>0</v>
      </c>
      <c r="F173" t="s">
        <v>0</v>
      </c>
      <c r="G173" t="str">
        <f t="shared" si="40"/>
        <v>SPRINGFIELD</v>
      </c>
      <c r="H173" t="str">
        <f t="shared" si="41"/>
        <v>VA </v>
      </c>
      <c r="I173" s="1">
        <f t="shared" si="42"/>
        <v>22153</v>
      </c>
      <c r="J173" s="1">
        <f t="shared" si="43"/>
        <v>7034401588</v>
      </c>
      <c r="K173" s="1">
        <f t="shared" si="44"/>
        <v>7034401599</v>
      </c>
    </row>
    <row r="174" spans="1:11" ht="12.75">
      <c r="A174" s="1" t="s">
        <v>11</v>
      </c>
      <c r="B174" t="str">
        <f>T("FA100 OFC OF FIRE &amp; AVIA DIR")</f>
        <v>FA100 OFC OF FIRE &amp; AVIA DIR</v>
      </c>
      <c r="C174" t="str">
        <f>T("BLM OFFICE OF FIRE &amp; AVIATION")</f>
        <v>BLM OFFICE OF FIRE &amp; AVIATION</v>
      </c>
      <c r="D174" t="str">
        <f>T("3833 S. DEVELOPMENT AVE.")</f>
        <v>3833 S. DEVELOPMENT AVE.</v>
      </c>
      <c r="E174" t="str">
        <f>T("ATTN: SUPP SVCS STAFF ASST")</f>
        <v>ATTN: SUPP SVCS STAFF ASST</v>
      </c>
      <c r="F174" t="s">
        <v>0</v>
      </c>
      <c r="G174" t="str">
        <f>T("BOISE")</f>
        <v>BOISE</v>
      </c>
      <c r="H174" t="str">
        <f>T("ID ")</f>
        <v>ID </v>
      </c>
      <c r="I174" s="1">
        <f>N(837055354)</f>
        <v>837055354</v>
      </c>
      <c r="J174" s="1">
        <f>N(2083875510)</f>
        <v>2083875510</v>
      </c>
      <c r="K174" s="1">
        <f>N(2083875376)</f>
        <v>2083875376</v>
      </c>
    </row>
    <row r="175" spans="1:11" ht="12.75">
      <c r="A175" s="1" t="s">
        <v>11</v>
      </c>
      <c r="B175" t="str">
        <f>T("FC200 NIFC ADMINISTRATOR")</f>
        <v>FC200 NIFC ADMINISTRATOR</v>
      </c>
      <c r="C175" t="str">
        <f>T("BLM OFFICE OF FIRE &amp; AVIATION")</f>
        <v>BLM OFFICE OF FIRE &amp; AVIATION</v>
      </c>
      <c r="D175" t="str">
        <f>T("3833 S. DEVELOPMENT AVE.")</f>
        <v>3833 S. DEVELOPMENT AVE.</v>
      </c>
      <c r="E175" t="str">
        <f>T("ATTN: SUPP SVCS STAFF ASST")</f>
        <v>ATTN: SUPP SVCS STAFF ASST</v>
      </c>
      <c r="F175" t="s">
        <v>0</v>
      </c>
      <c r="G175" t="str">
        <f>T("BOISE")</f>
        <v>BOISE</v>
      </c>
      <c r="H175" t="str">
        <f>T("ID ")</f>
        <v>ID </v>
      </c>
      <c r="I175" s="1">
        <f>N(837055354)</f>
        <v>837055354</v>
      </c>
      <c r="J175" s="1">
        <f>N(2083875510)</f>
        <v>2083875510</v>
      </c>
      <c r="K175" s="1">
        <f>N(2083875376)</f>
        <v>2083875376</v>
      </c>
    </row>
    <row r="176" spans="1:11" ht="12.75">
      <c r="A176" s="1" t="s">
        <v>11</v>
      </c>
      <c r="B176" t="str">
        <f>T("ID100 BOISE DISTRICT OFFICE")</f>
        <v>ID100 BOISE DISTRICT OFFICE</v>
      </c>
      <c r="C176" t="str">
        <f>T("3948 DEVELOPMENT AVENUE")</f>
        <v>3948 DEVELOPMENT AVENUE</v>
      </c>
      <c r="D176" t="s">
        <v>0</v>
      </c>
      <c r="E176" t="s">
        <v>0</v>
      </c>
      <c r="F176" t="s">
        <v>0</v>
      </c>
      <c r="G176" t="str">
        <f>T("BOISE")</f>
        <v>BOISE</v>
      </c>
      <c r="H176" t="str">
        <f>T("ID ")</f>
        <v>ID </v>
      </c>
      <c r="I176" s="1">
        <f>N(837055389)</f>
        <v>837055389</v>
      </c>
      <c r="J176" s="1">
        <f>N(2083843300)</f>
        <v>2083843300</v>
      </c>
      <c r="K176" s="1">
        <f>N(2083843493)</f>
        <v>2083843493</v>
      </c>
    </row>
    <row r="177" spans="1:11" ht="12.75">
      <c r="A177" s="1" t="s">
        <v>11</v>
      </c>
      <c r="B177" t="str">
        <f>T("ID300 IDAHO FALLS DIST OFF")</f>
        <v>ID300 IDAHO FALLS DIST OFF</v>
      </c>
      <c r="C177" t="str">
        <f>T("15 EAST 200 SOUTH")</f>
        <v>15 EAST 200 SOUTH</v>
      </c>
      <c r="D177" t="s">
        <v>0</v>
      </c>
      <c r="E177" t="s">
        <v>0</v>
      </c>
      <c r="F177" t="s">
        <v>0</v>
      </c>
      <c r="G177" t="str">
        <f>T("BURLEY")</f>
        <v>BURLEY</v>
      </c>
      <c r="H177" t="str">
        <f>T("ID ")</f>
        <v>ID </v>
      </c>
      <c r="I177" s="1">
        <f>N(833180000)</f>
        <v>833180000</v>
      </c>
      <c r="J177" s="1">
        <f>N(2086776641)</f>
        <v>2086776641</v>
      </c>
      <c r="K177" s="1">
        <f>N(2086776699)</f>
        <v>2086776699</v>
      </c>
    </row>
    <row r="178" spans="1:11" ht="12.75">
      <c r="A178" s="1" t="s">
        <v>11</v>
      </c>
      <c r="B178" t="str">
        <f>T("ID930 DIV OF RESOURCES")</f>
        <v>ID930 DIV OF RESOURCES</v>
      </c>
      <c r="C178" t="str">
        <f>T("1387 S VINNELL WAY")</f>
        <v>1387 S VINNELL WAY</v>
      </c>
      <c r="D178" t="s">
        <v>0</v>
      </c>
      <c r="E178" t="s">
        <v>0</v>
      </c>
      <c r="F178" t="s">
        <v>0</v>
      </c>
      <c r="G178" t="str">
        <f>T("BOISE")</f>
        <v>BOISE</v>
      </c>
      <c r="H178" t="str">
        <f>T("ID ")</f>
        <v>ID </v>
      </c>
      <c r="I178" s="1">
        <f>N(837091657)</f>
        <v>837091657</v>
      </c>
      <c r="J178" s="1">
        <f>N(2083734000)</f>
        <v>2083734000</v>
      </c>
      <c r="K178" s="1">
        <f>N(2083733915)</f>
        <v>2083733915</v>
      </c>
    </row>
    <row r="179" spans="1:11" ht="12.75">
      <c r="A179" s="1" t="s">
        <v>11</v>
      </c>
      <c r="B179" t="str">
        <f>T("MT010 BILLINGS FIELD OFC")</f>
        <v>MT010 BILLINGS FIELD OFC</v>
      </c>
      <c r="C179" t="str">
        <f>T("5001 SOUTHGATE DRIVE")</f>
        <v>5001 SOUTHGATE DRIVE</v>
      </c>
      <c r="D179" t="str">
        <f>T("P. O. BOX 36800")</f>
        <v>P. O. BOX 36800</v>
      </c>
      <c r="E179" t="s">
        <v>0</v>
      </c>
      <c r="F179" t="s">
        <v>0</v>
      </c>
      <c r="G179" t="str">
        <f>T("BILLINGS")</f>
        <v>BILLINGS</v>
      </c>
      <c r="H179" t="str">
        <f>T("MT ")</f>
        <v>MT </v>
      </c>
      <c r="I179" s="1">
        <f>N(591076800)</f>
        <v>591076800</v>
      </c>
      <c r="J179" s="1" t="s">
        <v>0</v>
      </c>
      <c r="K179" s="1">
        <f>N(4068965281)</f>
        <v>4068965281</v>
      </c>
    </row>
    <row r="180" spans="1:11" ht="12.75">
      <c r="A180" s="1" t="s">
        <v>11</v>
      </c>
      <c r="B180" t="str">
        <f>T("MT020 MILES CITY FIELD OFC")</f>
        <v>MT020 MILES CITY FIELD OFC</v>
      </c>
      <c r="C180" t="str">
        <f>T("111 GARYOWEN ROAD")</f>
        <v>111 GARYOWEN ROAD</v>
      </c>
      <c r="D180" t="s">
        <v>0</v>
      </c>
      <c r="E180" t="s">
        <v>0</v>
      </c>
      <c r="F180" t="s">
        <v>0</v>
      </c>
      <c r="G180" t="str">
        <f>T("MILES CITY")</f>
        <v>MILES CITY</v>
      </c>
      <c r="H180" t="str">
        <f>T("MT ")</f>
        <v>MT </v>
      </c>
      <c r="I180" s="1">
        <f>N(59301)</f>
        <v>59301</v>
      </c>
      <c r="J180" s="1" t="s">
        <v>0</v>
      </c>
      <c r="K180" s="1">
        <f>N(4062332921)</f>
        <v>4062332921</v>
      </c>
    </row>
    <row r="181" spans="1:11" ht="12.75">
      <c r="A181" s="1" t="s">
        <v>11</v>
      </c>
      <c r="B181" t="str">
        <f>T("MT030 NORTH DAKOTA FIELD OFC")</f>
        <v>MT030 NORTH DAKOTA FIELD OFC</v>
      </c>
      <c r="C181" t="str">
        <f>T("2933 THIRD AVENUE WEST")</f>
        <v>2933 THIRD AVENUE WEST</v>
      </c>
      <c r="D181" t="s">
        <v>0</v>
      </c>
      <c r="E181" t="s">
        <v>0</v>
      </c>
      <c r="F181" t="s">
        <v>0</v>
      </c>
      <c r="G181" t="str">
        <f>T("DICKINSON")</f>
        <v>DICKINSON</v>
      </c>
      <c r="H181" t="str">
        <f>T("ND ")</f>
        <v>ND </v>
      </c>
      <c r="I181" s="1">
        <f>N(586012619)</f>
        <v>586012619</v>
      </c>
      <c r="J181" s="1" t="s">
        <v>0</v>
      </c>
      <c r="K181" s="1">
        <f>N(7012278510)</f>
        <v>7012278510</v>
      </c>
    </row>
    <row r="182" spans="1:11" ht="12.75">
      <c r="A182" s="1" t="s">
        <v>11</v>
      </c>
      <c r="B182" t="str">
        <f>T("MT040 SOUTH DAKOTA FIELD OFC")</f>
        <v>MT040 SOUTH DAKOTA FIELD OFC</v>
      </c>
      <c r="C182" t="str">
        <f>T("310 ROUNDUP STREET")</f>
        <v>310 ROUNDUP STREET</v>
      </c>
      <c r="D182" t="s">
        <v>0</v>
      </c>
      <c r="E182" t="s">
        <v>0</v>
      </c>
      <c r="F182" t="s">
        <v>0</v>
      </c>
      <c r="G182" t="str">
        <f>T("BELLE FOURCHE")</f>
        <v>BELLE FOURCHE</v>
      </c>
      <c r="H182" t="str">
        <f>T("SD ")</f>
        <v>SD </v>
      </c>
      <c r="I182" s="1">
        <f>N(577171698)</f>
        <v>577171698</v>
      </c>
      <c r="J182" s="1" t="s">
        <v>0</v>
      </c>
      <c r="K182" s="1">
        <f>N(6058927015)</f>
        <v>6058927015</v>
      </c>
    </row>
    <row r="183" spans="1:11" ht="12.75">
      <c r="A183" s="1" t="s">
        <v>11</v>
      </c>
      <c r="B183" t="str">
        <f>T("MT050 DILLON FIELD OFC")</f>
        <v>MT050 DILLON FIELD OFC</v>
      </c>
      <c r="C183" t="str">
        <f>T("1005 SELWAY DRIVE")</f>
        <v>1005 SELWAY DRIVE</v>
      </c>
      <c r="D183" t="s">
        <v>0</v>
      </c>
      <c r="E183" t="s">
        <v>0</v>
      </c>
      <c r="F183" t="s">
        <v>0</v>
      </c>
      <c r="G183" t="str">
        <f>T("DILLON")</f>
        <v>DILLON</v>
      </c>
      <c r="H183" t="str">
        <f aca="true" t="shared" si="45" ref="H183:H191">T("MT ")</f>
        <v>MT </v>
      </c>
      <c r="I183" s="1">
        <f>N(59725)</f>
        <v>59725</v>
      </c>
      <c r="J183" s="1" t="s">
        <v>0</v>
      </c>
      <c r="K183" s="1">
        <f>N(4066832970)</f>
        <v>4066832970</v>
      </c>
    </row>
    <row r="184" spans="1:11" ht="12.75">
      <c r="A184" s="1" t="s">
        <v>11</v>
      </c>
      <c r="B184" t="str">
        <f>T("MT060 LEWISTOWN FIELD OFC")</f>
        <v>MT060 LEWISTOWN FIELD OFC</v>
      </c>
      <c r="C184" t="str">
        <f>T("AIRPORT ROAD")</f>
        <v>AIRPORT ROAD</v>
      </c>
      <c r="D184" t="str">
        <f>T("BOX 1160")</f>
        <v>BOX 1160</v>
      </c>
      <c r="E184" t="s">
        <v>0</v>
      </c>
      <c r="F184" t="s">
        <v>0</v>
      </c>
      <c r="G184" t="str">
        <f>T("LEWISTOWN")</f>
        <v>LEWISTOWN</v>
      </c>
      <c r="H184" t="str">
        <f t="shared" si="45"/>
        <v>MT </v>
      </c>
      <c r="I184" s="1">
        <f>N(59457)</f>
        <v>59457</v>
      </c>
      <c r="J184" s="1" t="s">
        <v>0</v>
      </c>
      <c r="K184" s="1">
        <f>N(4065381904)</f>
        <v>4065381904</v>
      </c>
    </row>
    <row r="185" spans="1:11" ht="12.75">
      <c r="A185" s="1" t="s">
        <v>11</v>
      </c>
      <c r="B185" t="str">
        <f>T("MT070 BUTTE FIELD OFC")</f>
        <v>MT070 BUTTE FIELD OFC</v>
      </c>
      <c r="C185" t="str">
        <f>T("106 NORTH PARKMONT")</f>
        <v>106 NORTH PARKMONT</v>
      </c>
      <c r="D185" t="s">
        <v>0</v>
      </c>
      <c r="E185" t="s">
        <v>0</v>
      </c>
      <c r="F185" t="s">
        <v>0</v>
      </c>
      <c r="G185" t="str">
        <f>T("BUTTE")</f>
        <v>BUTTE</v>
      </c>
      <c r="H185" t="str">
        <f t="shared" si="45"/>
        <v>MT </v>
      </c>
      <c r="I185" s="1">
        <f>N(597013388)</f>
        <v>597013388</v>
      </c>
      <c r="J185" s="1" t="s">
        <v>0</v>
      </c>
      <c r="K185" s="1">
        <f>N(4065337660)</f>
        <v>4065337660</v>
      </c>
    </row>
    <row r="186" spans="1:11" ht="12.75">
      <c r="A186" s="1" t="s">
        <v>11</v>
      </c>
      <c r="B186" t="str">
        <f>T("MT080 GREAT FALLS FIELD OFC")</f>
        <v>MT080 GREAT FALLS FIELD OFC</v>
      </c>
      <c r="C186" t="str">
        <f>T("1101 15TH STREET NORTH")</f>
        <v>1101 15TH STREET NORTH</v>
      </c>
      <c r="D186" t="s">
        <v>0</v>
      </c>
      <c r="E186" t="s">
        <v>0</v>
      </c>
      <c r="F186" t="s">
        <v>0</v>
      </c>
      <c r="G186" t="str">
        <f>T("GREAT FALLS")</f>
        <v>GREAT FALLS</v>
      </c>
      <c r="H186" t="str">
        <f t="shared" si="45"/>
        <v>MT </v>
      </c>
      <c r="I186" s="1">
        <f>N(59403)</f>
        <v>59403</v>
      </c>
      <c r="J186" s="1" t="s">
        <v>0</v>
      </c>
      <c r="K186" s="1">
        <f>N(4067910532)</f>
        <v>4067910532</v>
      </c>
    </row>
    <row r="187" spans="1:11" ht="12.75">
      <c r="A187" s="1" t="s">
        <v>11</v>
      </c>
      <c r="B187" t="str">
        <f>T("MT090 MALTA FIELD OFC")</f>
        <v>MT090 MALTA FIELD OFC</v>
      </c>
      <c r="C187" t="str">
        <f>T("501 S. 2ND STREET E")</f>
        <v>501 S. 2ND STREET E</v>
      </c>
      <c r="D187" t="s">
        <v>0</v>
      </c>
      <c r="E187" t="s">
        <v>0</v>
      </c>
      <c r="F187" t="s">
        <v>0</v>
      </c>
      <c r="G187" t="str">
        <f>T("MALTA")</f>
        <v>MALTA</v>
      </c>
      <c r="H187" t="str">
        <f t="shared" si="45"/>
        <v>MT </v>
      </c>
      <c r="I187" s="1">
        <f>N(59538)</f>
        <v>59538</v>
      </c>
      <c r="J187" s="1" t="s">
        <v>0</v>
      </c>
      <c r="K187" s="1">
        <f>N(4066542671)</f>
        <v>4066542671</v>
      </c>
    </row>
    <row r="188" spans="1:11" ht="12.75">
      <c r="A188" s="1" t="s">
        <v>11</v>
      </c>
      <c r="B188" t="str">
        <f>T("MT100 MISSOULA FIELD OFC")</f>
        <v>MT100 MISSOULA FIELD OFC</v>
      </c>
      <c r="C188" t="str">
        <f>T("3255 FT MISSOULA ROAD")</f>
        <v>3255 FT MISSOULA ROAD</v>
      </c>
      <c r="D188" t="s">
        <v>0</v>
      </c>
      <c r="E188" t="s">
        <v>0</v>
      </c>
      <c r="F188" t="s">
        <v>0</v>
      </c>
      <c r="G188" t="str">
        <f>T("MISSOULA")</f>
        <v>MISSOULA</v>
      </c>
      <c r="H188" t="str">
        <f t="shared" si="45"/>
        <v>MT </v>
      </c>
      <c r="I188" s="1">
        <f>N(598047293)</f>
        <v>598047293</v>
      </c>
      <c r="J188" s="1" t="s">
        <v>0</v>
      </c>
      <c r="K188" s="1">
        <f>N(4063293722)</f>
        <v>4063293722</v>
      </c>
    </row>
    <row r="189" spans="1:11" ht="12.75">
      <c r="A189" s="1" t="s">
        <v>11</v>
      </c>
      <c r="B189" t="str">
        <f>T("MT910 OFC OF STATE DIRECTOR")</f>
        <v>MT910 OFC OF STATE DIRECTOR</v>
      </c>
      <c r="C189" t="str">
        <f>T("5001 SOUTHGATE DRIVE")</f>
        <v>5001 SOUTHGATE DRIVE</v>
      </c>
      <c r="D189" t="str">
        <f>T("P. O. BOX 36800")</f>
        <v>P. O. BOX 36800</v>
      </c>
      <c r="E189" t="s">
        <v>0</v>
      </c>
      <c r="F189" t="s">
        <v>0</v>
      </c>
      <c r="G189" t="str">
        <f>T("BILLINGS")</f>
        <v>BILLINGS</v>
      </c>
      <c r="H189" t="str">
        <f t="shared" si="45"/>
        <v>MT </v>
      </c>
      <c r="I189" s="1">
        <f>N(591076800)</f>
        <v>591076800</v>
      </c>
      <c r="J189" s="1" t="s">
        <v>0</v>
      </c>
      <c r="K189" s="1">
        <f>N(4068965020)</f>
        <v>4068965020</v>
      </c>
    </row>
    <row r="190" spans="1:11" ht="12.75">
      <c r="A190" s="1" t="s">
        <v>11</v>
      </c>
      <c r="B190" t="str">
        <f>T("MT920 DIV OF RSCS")</f>
        <v>MT920 DIV OF RSCS</v>
      </c>
      <c r="C190" t="str">
        <f>T("5001 SOUTHGATE DRIVE")</f>
        <v>5001 SOUTHGATE DRIVE</v>
      </c>
      <c r="D190" t="str">
        <f>T("P. O. BOX 36800")</f>
        <v>P. O. BOX 36800</v>
      </c>
      <c r="E190" t="s">
        <v>0</v>
      </c>
      <c r="F190" t="s">
        <v>0</v>
      </c>
      <c r="G190" t="str">
        <f>T("BILLINGS")</f>
        <v>BILLINGS</v>
      </c>
      <c r="H190" t="str">
        <f t="shared" si="45"/>
        <v>MT </v>
      </c>
      <c r="I190" s="1">
        <f>N(591076800)</f>
        <v>591076800</v>
      </c>
      <c r="J190" s="1" t="s">
        <v>0</v>
      </c>
      <c r="K190" s="1">
        <f>N(4068965020)</f>
        <v>4068965020</v>
      </c>
    </row>
    <row r="191" spans="1:11" ht="12.75">
      <c r="A191" s="1" t="s">
        <v>11</v>
      </c>
      <c r="B191" t="str">
        <f>T("MT930 DIV OF SPT SVCS")</f>
        <v>MT930 DIV OF SPT SVCS</v>
      </c>
      <c r="C191" t="str">
        <f>T("5001 SOUTHGATE DRIVE")</f>
        <v>5001 SOUTHGATE DRIVE</v>
      </c>
      <c r="D191" t="str">
        <f>T("P. O. BOX 36800")</f>
        <v>P. O. BOX 36800</v>
      </c>
      <c r="E191" t="s">
        <v>0</v>
      </c>
      <c r="F191" t="s">
        <v>0</v>
      </c>
      <c r="G191" t="str">
        <f>T("BILLINGS")</f>
        <v>BILLINGS</v>
      </c>
      <c r="H191" t="str">
        <f t="shared" si="45"/>
        <v>MT </v>
      </c>
      <c r="I191" s="1">
        <f>N(591076800)</f>
        <v>591076800</v>
      </c>
      <c r="J191" s="1" t="s">
        <v>0</v>
      </c>
      <c r="K191" s="1">
        <f>N(4068965020)</f>
        <v>4068965020</v>
      </c>
    </row>
    <row r="192" spans="1:11" ht="12.75">
      <c r="A192" s="1" t="s">
        <v>11</v>
      </c>
      <c r="B192" t="str">
        <f>T("NM080 CARLSBAD FIELD OFC")</f>
        <v>NM080 CARLSBAD FIELD OFC</v>
      </c>
      <c r="C192" t="str">
        <f>T("620 E. GREENE ST.")</f>
        <v>620 E. GREENE ST.</v>
      </c>
      <c r="D192" t="str">
        <f>T("ATTN: NANCY PAINTER")</f>
        <v>ATTN: NANCY PAINTER</v>
      </c>
      <c r="E192" t="s">
        <v>0</v>
      </c>
      <c r="F192" t="s">
        <v>0</v>
      </c>
      <c r="G192" t="str">
        <f>T("CARLSBAD")</f>
        <v>CARLSBAD</v>
      </c>
      <c r="H192" t="str">
        <f>T("NM ")</f>
        <v>NM </v>
      </c>
      <c r="I192" s="1">
        <f>N(88220)</f>
        <v>88220</v>
      </c>
      <c r="J192" s="1">
        <f>N(5052345905)</f>
        <v>5052345905</v>
      </c>
      <c r="K192" s="1">
        <f>N(5058859264)</f>
        <v>5058859264</v>
      </c>
    </row>
    <row r="193" spans="1:11" ht="12.75">
      <c r="A193" s="1" t="s">
        <v>11</v>
      </c>
      <c r="B193" t="str">
        <f>T("NM010 ALBUQUERQUE FIELD OFC")</f>
        <v>NM010 ALBUQUERQUE FIELD OFC</v>
      </c>
      <c r="C193" t="str">
        <f>T("435 MONTANO NE")</f>
        <v>435 MONTANO NE</v>
      </c>
      <c r="D193" t="str">
        <f>T("ATTN: MILLIE CHAPIN")</f>
        <v>ATTN: MILLIE CHAPIN</v>
      </c>
      <c r="E193" t="s">
        <v>0</v>
      </c>
      <c r="F193" t="s">
        <v>0</v>
      </c>
      <c r="G193" t="str">
        <f>T("ALBUQUERQUE")</f>
        <v>ALBUQUERQUE</v>
      </c>
      <c r="H193" t="str">
        <f>T("NM ")</f>
        <v>NM </v>
      </c>
      <c r="I193" s="1">
        <f>N(87107)</f>
        <v>87107</v>
      </c>
      <c r="J193" s="1">
        <f>N(5057618911)</f>
        <v>5057618911</v>
      </c>
      <c r="K193" s="1">
        <f>N(5057618715)</f>
        <v>5057618715</v>
      </c>
    </row>
    <row r="194" spans="1:11" ht="12.75">
      <c r="A194" s="1" t="s">
        <v>11</v>
      </c>
      <c r="B194" t="str">
        <f>T("NM020 TAOS FIELD OFC")</f>
        <v>NM020 TAOS FIELD OFC</v>
      </c>
      <c r="C194" t="str">
        <f>T("226 CRUZ ALTA RD.")</f>
        <v>226 CRUZ ALTA RD.</v>
      </c>
      <c r="D194" t="str">
        <f>T("ATTN: JEANETTE MARTINEZ")</f>
        <v>ATTN: JEANETTE MARTINEZ</v>
      </c>
      <c r="E194" t="s">
        <v>0</v>
      </c>
      <c r="F194" t="s">
        <v>0</v>
      </c>
      <c r="G194" t="str">
        <f>T("TAOS")</f>
        <v>TAOS</v>
      </c>
      <c r="H194" t="str">
        <f>T("NM ")</f>
        <v>NM </v>
      </c>
      <c r="I194" s="1">
        <f>N(87571)</f>
        <v>87571</v>
      </c>
      <c r="J194" s="1">
        <f>N(5057514701)</f>
        <v>5057514701</v>
      </c>
      <c r="K194" s="1">
        <f>N(5057581620)</f>
        <v>5057581620</v>
      </c>
    </row>
    <row r="195" spans="1:11" ht="12.75">
      <c r="A195" s="1" t="s">
        <v>11</v>
      </c>
      <c r="B195" t="str">
        <f>T("NM030 LAS CRUCES FIELD OFC")</f>
        <v>NM030 LAS CRUCES FIELD OFC</v>
      </c>
      <c r="C195" t="str">
        <f>T("1800 MARQUESS ST")</f>
        <v>1800 MARQUESS ST</v>
      </c>
      <c r="D195" t="str">
        <f>T("ATTN: BEATRICE MELENDREZ")</f>
        <v>ATTN: BEATRICE MELENDREZ</v>
      </c>
      <c r="E195" t="s">
        <v>0</v>
      </c>
      <c r="F195" t="s">
        <v>0</v>
      </c>
      <c r="G195" t="str">
        <f>T("LAS CRUCES")</f>
        <v>LAS CRUCES</v>
      </c>
      <c r="H195" t="str">
        <f>T("NM ")</f>
        <v>NM </v>
      </c>
      <c r="I195" s="1">
        <f>N(88005)</f>
        <v>88005</v>
      </c>
      <c r="J195" s="1">
        <f>N(5055254368)</f>
        <v>5055254368</v>
      </c>
      <c r="K195" s="1">
        <f>N(5055254412)</f>
        <v>5055254412</v>
      </c>
    </row>
    <row r="196" spans="1:11" ht="13.5" customHeight="1">
      <c r="A196" s="1" t="s">
        <v>11</v>
      </c>
      <c r="B196" t="str">
        <f>T("NM040 OKLAHOMA FIELD OFFICE")</f>
        <v>NM040 OKLAHOMA FIELD OFFICE</v>
      </c>
      <c r="C196" t="str">
        <f>T("7906 E. 33 ST.")</f>
        <v>7906 E. 33 ST.</v>
      </c>
      <c r="D196" t="str">
        <f>T("SUITE 101")</f>
        <v>SUITE 101</v>
      </c>
      <c r="E196" t="str">
        <f>T("ATTN: JANIE WARD")</f>
        <v>ATTN: JANIE WARD</v>
      </c>
      <c r="F196" t="s">
        <v>0</v>
      </c>
      <c r="G196" t="str">
        <f>T("TULSA")</f>
        <v>TULSA</v>
      </c>
      <c r="H196" t="str">
        <f>T("OK ")</f>
        <v>OK </v>
      </c>
      <c r="I196" s="1">
        <f>N(74145)</f>
        <v>74145</v>
      </c>
      <c r="J196" s="1">
        <f>N(9166214158)</f>
        <v>9166214158</v>
      </c>
      <c r="K196" s="1">
        <f>N(9186214130)</f>
        <v>9186214130</v>
      </c>
    </row>
    <row r="197" spans="1:11" ht="12.75">
      <c r="A197" s="1" t="s">
        <v>11</v>
      </c>
      <c r="B197" t="str">
        <f>T("NM060 ROSWELL FIELD OFC")</f>
        <v>NM060 ROSWELL FIELD OFC</v>
      </c>
      <c r="C197" t="str">
        <f>T("2909 WEST SECOND ST.")</f>
        <v>2909 WEST SECOND ST.</v>
      </c>
      <c r="D197" t="str">
        <f>T("ATTN: SHARLETT WILLIAMS")</f>
        <v>ATTN: SHARLETT WILLIAMS</v>
      </c>
      <c r="E197" t="s">
        <v>0</v>
      </c>
      <c r="F197" t="s">
        <v>0</v>
      </c>
      <c r="G197" t="str">
        <f>T("ROSWELL")</f>
        <v>ROSWELL</v>
      </c>
      <c r="H197" t="str">
        <f>T("NM ")</f>
        <v>NM </v>
      </c>
      <c r="I197" s="1">
        <f>N(88201)</f>
        <v>88201</v>
      </c>
      <c r="J197" s="1">
        <f>N(5056270280)</f>
        <v>5056270280</v>
      </c>
      <c r="K197" s="1">
        <f>N(5056270276)</f>
        <v>5056270276</v>
      </c>
    </row>
    <row r="198" spans="1:11" ht="12.75">
      <c r="A198" s="1" t="s">
        <v>11</v>
      </c>
      <c r="B198" t="str">
        <f>T("NM070 FARMINGTON FIELD OFC")</f>
        <v>NM070 FARMINGTON FIELD OFC</v>
      </c>
      <c r="C198" t="str">
        <f>T("1235 LA PLATA HWY.")</f>
        <v>1235 LA PLATA HWY.</v>
      </c>
      <c r="D198" t="str">
        <f>T("SUITE A")</f>
        <v>SUITE A</v>
      </c>
      <c r="E198" t="str">
        <f>T("ATTN: MARGIE DUPRE")</f>
        <v>ATTN: MARGIE DUPRE</v>
      </c>
      <c r="F198" t="s">
        <v>0</v>
      </c>
      <c r="G198" t="str">
        <f>T("FARMINGTON")</f>
        <v>FARMINGTON</v>
      </c>
      <c r="H198" t="str">
        <f>T("NM ")</f>
        <v>NM </v>
      </c>
      <c r="I198" s="1">
        <f>N(87401)</f>
        <v>87401</v>
      </c>
      <c r="J198" s="1">
        <f>N(5055996352)</f>
        <v>5055996352</v>
      </c>
      <c r="K198" s="1">
        <f>N(5055998998)</f>
        <v>5055998998</v>
      </c>
    </row>
    <row r="199" spans="1:11" ht="12.75">
      <c r="A199" s="1" t="s">
        <v>11</v>
      </c>
      <c r="B199" t="str">
        <f>T("NM090 AMARILLO FIELD OFC")</f>
        <v>NM090 AMARILLO FIELD OFC</v>
      </c>
      <c r="C199" t="str">
        <f>T("801 S. FILLMORE ST.")</f>
        <v>801 S. FILLMORE ST.</v>
      </c>
      <c r="D199" t="str">
        <f>T("SUITE 500")</f>
        <v>SUITE 500</v>
      </c>
      <c r="E199" t="str">
        <f>T("ATTN: KAY ELLIOTT")</f>
        <v>ATTN: KAY ELLIOTT</v>
      </c>
      <c r="F199" t="s">
        <v>0</v>
      </c>
      <c r="G199" t="str">
        <f>T("AMARILLO")</f>
        <v>AMARILLO</v>
      </c>
      <c r="H199" t="str">
        <f>T("TX ")</f>
        <v>TX </v>
      </c>
      <c r="I199" s="1">
        <f>N(79101)</f>
        <v>79101</v>
      </c>
      <c r="J199" s="1">
        <f>N(8063242684)</f>
        <v>8063242684</v>
      </c>
      <c r="K199" s="1">
        <f>N(8063242633)</f>
        <v>8063242633</v>
      </c>
    </row>
    <row r="200" spans="1:11" ht="12.75">
      <c r="A200" s="1" t="s">
        <v>11</v>
      </c>
      <c r="B200" t="str">
        <f>T("NM910 OFC OF STATE DIRECTOR")</f>
        <v>NM910 OFC OF STATE DIRECTOR</v>
      </c>
      <c r="C200" t="str">
        <f>T("P. O. BOX 27115")</f>
        <v>P. O. BOX 27115</v>
      </c>
      <c r="D200" t="str">
        <f>T("ATTN: CATHY VELARDE")</f>
        <v>ATTN: CATHY VELARDE</v>
      </c>
      <c r="E200" t="s">
        <v>0</v>
      </c>
      <c r="F200" t="s">
        <v>0</v>
      </c>
      <c r="G200" t="str">
        <f>T("SANTA FE")</f>
        <v>SANTA FE</v>
      </c>
      <c r="H200" t="str">
        <f>T("NM ")</f>
        <v>NM </v>
      </c>
      <c r="I200" s="1">
        <f>N(87502)</f>
        <v>87502</v>
      </c>
      <c r="J200" s="1">
        <f>N(5054387501)</f>
        <v>5054387501</v>
      </c>
      <c r="K200" s="1">
        <f>N(5054387452)</f>
        <v>5054387452</v>
      </c>
    </row>
    <row r="201" spans="1:11" ht="12.75">
      <c r="A201" s="1" t="s">
        <v>11</v>
      </c>
      <c r="B201" t="str">
        <f>T("NM930 DIV OF RESOURCES")</f>
        <v>NM930 DIV OF RESOURCES</v>
      </c>
      <c r="C201" t="str">
        <f>T("P. O. BOX 27115")</f>
        <v>P. O. BOX 27115</v>
      </c>
      <c r="D201" t="str">
        <f>T("ATTN: ARLENE SALAZAR")</f>
        <v>ATTN: ARLENE SALAZAR</v>
      </c>
      <c r="E201" t="s">
        <v>0</v>
      </c>
      <c r="F201" t="s">
        <v>0</v>
      </c>
      <c r="G201" t="str">
        <f>T("SANTA FE")</f>
        <v>SANTA FE</v>
      </c>
      <c r="H201" t="str">
        <f>T("NM ")</f>
        <v>NM </v>
      </c>
      <c r="I201" s="1">
        <f>N(87502)</f>
        <v>87502</v>
      </c>
      <c r="J201" s="1">
        <f>N(5057618772)</f>
        <v>5057618772</v>
      </c>
      <c r="K201" s="1">
        <f>N(5057618715)</f>
        <v>5057618715</v>
      </c>
    </row>
    <row r="202" spans="1:11" ht="12.75">
      <c r="A202" s="1" t="s">
        <v>11</v>
      </c>
      <c r="B202" t="str">
        <f>T("NM950 DIV OF BUS RESOURCES")</f>
        <v>NM950 DIV OF BUS RESOURCES</v>
      </c>
      <c r="C202" t="str">
        <f>T("P. O. BOX 27115")</f>
        <v>P. O. BOX 27115</v>
      </c>
      <c r="D202" t="str">
        <f>T("ATTN: DARLENE ORTIZ")</f>
        <v>ATTN: DARLENE ORTIZ</v>
      </c>
      <c r="E202" t="s">
        <v>0</v>
      </c>
      <c r="F202" t="s">
        <v>0</v>
      </c>
      <c r="G202" t="str">
        <f>T("SANTA FE")</f>
        <v>SANTA FE</v>
      </c>
      <c r="H202" t="str">
        <f>T("NM ")</f>
        <v>NM </v>
      </c>
      <c r="I202" s="1">
        <f>N(87502)</f>
        <v>87502</v>
      </c>
      <c r="J202" s="1">
        <f>N(5054387630)</f>
        <v>5054387630</v>
      </c>
      <c r="K202" s="1">
        <f>N(5054387435)</f>
        <v>5054387435</v>
      </c>
    </row>
    <row r="203" spans="1:11" ht="12.75">
      <c r="A203" s="1" t="s">
        <v>11</v>
      </c>
      <c r="B203" t="str">
        <f>T("NV010 ELKO FIELD OFC")</f>
        <v>NV010 ELKO FIELD OFC</v>
      </c>
      <c r="C203" t="str">
        <f>T("3900 E. IDAHO ST.")</f>
        <v>3900 E. IDAHO ST.</v>
      </c>
      <c r="D203" t="str">
        <f>T("ATTN: SARA FERREIRA")</f>
        <v>ATTN: SARA FERREIRA</v>
      </c>
      <c r="E203" t="s">
        <v>0</v>
      </c>
      <c r="F203" t="s">
        <v>0</v>
      </c>
      <c r="G203" t="str">
        <f>T("ELKO")</f>
        <v>ELKO</v>
      </c>
      <c r="H203" t="str">
        <f aca="true" t="shared" si="46" ref="H203:H210">T("NV ")</f>
        <v>NV </v>
      </c>
      <c r="I203" s="1">
        <f>N(89801)</f>
        <v>89801</v>
      </c>
      <c r="J203" s="1">
        <f>N(7757530245)</f>
        <v>7757530245</v>
      </c>
      <c r="K203" s="1">
        <f>N(7757530255)</f>
        <v>7757530255</v>
      </c>
    </row>
    <row r="204" spans="1:11" ht="12.75">
      <c r="A204" s="1" t="s">
        <v>11</v>
      </c>
      <c r="B204" t="str">
        <f>T("NV020 WINNEMUCCA FIELD OFC")</f>
        <v>NV020 WINNEMUCCA FIELD OFC</v>
      </c>
      <c r="C204" t="str">
        <f>T("5100 E. WINNEMUCCA BLVD")</f>
        <v>5100 E. WINNEMUCCA BLVD</v>
      </c>
      <c r="D204" t="str">
        <f>T("ATTN: LINDA TWOMBLY")</f>
        <v>ATTN: LINDA TWOMBLY</v>
      </c>
      <c r="E204" t="s">
        <v>0</v>
      </c>
      <c r="F204" t="s">
        <v>0</v>
      </c>
      <c r="G204" t="str">
        <f>T("WINNEMUCCA")</f>
        <v>WINNEMUCCA</v>
      </c>
      <c r="H204" t="str">
        <f t="shared" si="46"/>
        <v>NV </v>
      </c>
      <c r="I204" s="1">
        <f>N(89445)</f>
        <v>89445</v>
      </c>
      <c r="J204" s="1">
        <f>N(7756231505)</f>
        <v>7756231505</v>
      </c>
      <c r="K204" s="1">
        <f>N(7756231503)</f>
        <v>7756231503</v>
      </c>
    </row>
    <row r="205" spans="1:11" ht="12.75">
      <c r="A205" s="1" t="s">
        <v>11</v>
      </c>
      <c r="B205" t="str">
        <f>T("NV030 CARSON CITY FIELD OFC")</f>
        <v>NV030 CARSON CITY FIELD OFC</v>
      </c>
      <c r="C205" t="str">
        <f>T("5665 MORGAN MILL RD")</f>
        <v>5665 MORGAN MILL RD</v>
      </c>
      <c r="D205" t="str">
        <f>T("ATTN: KELLY MADIGAN")</f>
        <v>ATTN: KELLY MADIGAN</v>
      </c>
      <c r="E205" t="s">
        <v>0</v>
      </c>
      <c r="F205" t="s">
        <v>0</v>
      </c>
      <c r="G205" t="str">
        <f>T("CARSON CITY")</f>
        <v>CARSON CITY</v>
      </c>
      <c r="H205" t="str">
        <f t="shared" si="46"/>
        <v>NV </v>
      </c>
      <c r="I205" s="1">
        <f>N(89701)</f>
        <v>89701</v>
      </c>
      <c r="J205" s="1">
        <f>N(7758856000)</f>
        <v>7758856000</v>
      </c>
      <c r="K205" s="1">
        <f>N(7758856147)</f>
        <v>7758856147</v>
      </c>
    </row>
    <row r="206" spans="1:11" ht="12.75">
      <c r="A206" s="1" t="s">
        <v>11</v>
      </c>
      <c r="B206" t="str">
        <f>T("NV040 ELY FIELD OFC")</f>
        <v>NV040 ELY FIELD OFC</v>
      </c>
      <c r="C206" t="str">
        <f>T("702 N. INDUSTRIAL WAY")</f>
        <v>702 N. INDUSTRIAL WAY</v>
      </c>
      <c r="D206" t="str">
        <f>T("ATTN: JERRY O'DONNELL")</f>
        <v>ATTN: JERRY O'DONNELL</v>
      </c>
      <c r="E206" t="s">
        <v>0</v>
      </c>
      <c r="F206" t="s">
        <v>0</v>
      </c>
      <c r="G206" t="str">
        <f>T("ELY")</f>
        <v>ELY</v>
      </c>
      <c r="H206" t="str">
        <f t="shared" si="46"/>
        <v>NV </v>
      </c>
      <c r="I206" s="1">
        <f>N(89301)</f>
        <v>89301</v>
      </c>
      <c r="J206" s="1">
        <f>N(7752891804)</f>
        <v>7752891804</v>
      </c>
      <c r="K206" s="1">
        <f>N(7752891910)</f>
        <v>7752891910</v>
      </c>
    </row>
    <row r="207" spans="1:11" ht="12.75">
      <c r="A207" s="1" t="s">
        <v>11</v>
      </c>
      <c r="B207" t="str">
        <f>T("NV050 LAS VEGAS FIELD OFC")</f>
        <v>NV050 LAS VEGAS FIELD OFC</v>
      </c>
      <c r="C207" t="str">
        <f>T("4701 N. TORREY PINES DR.")</f>
        <v>4701 N. TORREY PINES DR.</v>
      </c>
      <c r="D207" t="str">
        <f>T("ATTN: MIKE BAIRD")</f>
        <v>ATTN: MIKE BAIRD</v>
      </c>
      <c r="E207" t="s">
        <v>0</v>
      </c>
      <c r="F207" t="s">
        <v>0</v>
      </c>
      <c r="G207" t="str">
        <f>T("LAS VEGAS")</f>
        <v>LAS VEGAS</v>
      </c>
      <c r="H207" t="str">
        <f t="shared" si="46"/>
        <v>NV </v>
      </c>
      <c r="I207" s="1">
        <f>N(89130)</f>
        <v>89130</v>
      </c>
      <c r="J207" s="1">
        <f>N(7025155000)</f>
        <v>7025155000</v>
      </c>
      <c r="K207" s="1">
        <f>N(7025155023)</f>
        <v>7025155023</v>
      </c>
    </row>
    <row r="208" spans="1:11" ht="12.75">
      <c r="A208" s="1" t="s">
        <v>11</v>
      </c>
      <c r="B208" t="str">
        <f>T("NV060 BATTLE MOUNTAIN FLD OFC")</f>
        <v>NV060 BATTLE MOUNTAIN FLD OFC</v>
      </c>
      <c r="C208" t="str">
        <f>T("50 BASTIAN RD")</f>
        <v>50 BASTIAN RD</v>
      </c>
      <c r="D208" t="str">
        <f>T("ATTN: NANCY LAHR")</f>
        <v>ATTN: NANCY LAHR</v>
      </c>
      <c r="E208" t="s">
        <v>0</v>
      </c>
      <c r="F208" t="s">
        <v>0</v>
      </c>
      <c r="G208" t="str">
        <f>T("BATTLE MOUNTAIN")</f>
        <v>BATTLE MOUNTAIN</v>
      </c>
      <c r="H208" t="str">
        <f t="shared" si="46"/>
        <v>NV </v>
      </c>
      <c r="I208" s="1">
        <f>N(898201420)</f>
        <v>898201420</v>
      </c>
      <c r="J208" s="1">
        <f>N(7756354000)</f>
        <v>7756354000</v>
      </c>
      <c r="K208" s="1">
        <f>N(7756354034)</f>
        <v>7756354034</v>
      </c>
    </row>
    <row r="209" spans="1:11" ht="12.75">
      <c r="A209" s="1" t="s">
        <v>11</v>
      </c>
      <c r="B209" t="str">
        <f>T("NV910 OFC OF STATE DIRECTOR")</f>
        <v>NV910 OFC OF STATE DIRECTOR</v>
      </c>
      <c r="C209" t="str">
        <f>T("1340 FINANCIAL BLVD")</f>
        <v>1340 FINANCIAL BLVD</v>
      </c>
      <c r="D209" t="str">
        <f>T("PO BOX 12000")</f>
        <v>PO BOX 12000</v>
      </c>
      <c r="E209" t="str">
        <f>T("ATTN: GAIL SIMS")</f>
        <v>ATTN: GAIL SIMS</v>
      </c>
      <c r="F209" t="s">
        <v>0</v>
      </c>
      <c r="G209" t="str">
        <f>T("RENO")</f>
        <v>RENO</v>
      </c>
      <c r="H209" t="str">
        <f t="shared" si="46"/>
        <v>NV </v>
      </c>
      <c r="I209" s="1">
        <f>N(895200006)</f>
        <v>895200006</v>
      </c>
      <c r="J209" s="1">
        <f>N(7758616406)</f>
        <v>7758616406</v>
      </c>
      <c r="K209" s="1">
        <f>N(7758616634)</f>
        <v>7758616634</v>
      </c>
    </row>
    <row r="210" spans="1:11" ht="12.75">
      <c r="A210" s="1" t="s">
        <v>11</v>
      </c>
      <c r="B210" t="str">
        <f>T("NV930 DIV OF NATRL RES LNDS/PL")</f>
        <v>NV930 DIV OF NATRL RES LNDS/PL</v>
      </c>
      <c r="C210" t="str">
        <f>T("1340 FINANCIAL BLVD")</f>
        <v>1340 FINANCIAL BLVD</v>
      </c>
      <c r="D210" t="str">
        <f>T("PO BOX 12000")</f>
        <v>PO BOX 12000</v>
      </c>
      <c r="E210" t="str">
        <f>T("ATTN: GAIL SIMS")</f>
        <v>ATTN: GAIL SIMS</v>
      </c>
      <c r="F210" t="s">
        <v>0</v>
      </c>
      <c r="G210" t="str">
        <f>T("RENO")</f>
        <v>RENO</v>
      </c>
      <c r="H210" t="str">
        <f t="shared" si="46"/>
        <v>NV </v>
      </c>
      <c r="I210" s="1">
        <f>N(895200006)</f>
        <v>895200006</v>
      </c>
      <c r="J210" s="1">
        <f>N(7758616406)</f>
        <v>7758616406</v>
      </c>
      <c r="K210" s="1">
        <f>N(7758616634)</f>
        <v>7758616634</v>
      </c>
    </row>
    <row r="211" spans="1:11" ht="12.75">
      <c r="A211" s="1" t="s">
        <v>11</v>
      </c>
      <c r="B211" t="str">
        <f>T("OR010 LAKEVIEW DISTRICT")</f>
        <v>OR010 LAKEVIEW DISTRICT</v>
      </c>
      <c r="C211" t="str">
        <f>T("HC10 BOX 337")</f>
        <v>HC10 BOX 337</v>
      </c>
      <c r="D211" t="s">
        <v>0</v>
      </c>
      <c r="E211" t="s">
        <v>0</v>
      </c>
      <c r="F211" t="s">
        <v>0</v>
      </c>
      <c r="G211" t="str">
        <f>T("LAKEVIEW")</f>
        <v>LAKEVIEW</v>
      </c>
      <c r="H211" t="str">
        <f aca="true" t="shared" si="47" ref="H211:H223">T("OR ")</f>
        <v>OR </v>
      </c>
      <c r="I211" s="1">
        <f>N(97630)</f>
        <v>97630</v>
      </c>
      <c r="J211" s="1">
        <f>N(5419472177)</f>
        <v>5419472177</v>
      </c>
      <c r="K211" s="1">
        <f>N(5419476399)</f>
        <v>5419476399</v>
      </c>
    </row>
    <row r="212" spans="1:11" ht="12.75">
      <c r="A212" s="1" t="s">
        <v>11</v>
      </c>
      <c r="B212" t="str">
        <f>T("OR020 BURNS DISTRICT")</f>
        <v>OR020 BURNS DISTRICT</v>
      </c>
      <c r="C212" t="str">
        <f>T("28910 HWY 20 WEST")</f>
        <v>28910 HWY 20 WEST</v>
      </c>
      <c r="D212" t="s">
        <v>0</v>
      </c>
      <c r="E212" t="s">
        <v>0</v>
      </c>
      <c r="F212" t="s">
        <v>0</v>
      </c>
      <c r="G212" t="str">
        <f>T("HINES")</f>
        <v>HINES</v>
      </c>
      <c r="H212" t="str">
        <f t="shared" si="47"/>
        <v>OR </v>
      </c>
      <c r="I212" s="1">
        <f>N(97738)</f>
        <v>97738</v>
      </c>
      <c r="J212" s="1">
        <f>N(5415734400)</f>
        <v>5415734400</v>
      </c>
      <c r="K212" s="1">
        <f>N(5415734411)</f>
        <v>5415734411</v>
      </c>
    </row>
    <row r="213" spans="1:11" ht="12.75">
      <c r="A213" s="1" t="s">
        <v>11</v>
      </c>
      <c r="B213" t="str">
        <f>T("OR030 VALE DISTRICT")</f>
        <v>OR030 VALE DISTRICT</v>
      </c>
      <c r="C213" t="str">
        <f>T("100 OREGON STREET")</f>
        <v>100 OREGON STREET</v>
      </c>
      <c r="D213" t="s">
        <v>0</v>
      </c>
      <c r="E213" t="s">
        <v>0</v>
      </c>
      <c r="F213" t="s">
        <v>0</v>
      </c>
      <c r="G213" t="str">
        <f>T("VALE")</f>
        <v>VALE</v>
      </c>
      <c r="H213" t="str">
        <f t="shared" si="47"/>
        <v>OR </v>
      </c>
      <c r="I213" s="1">
        <f>N(97918)</f>
        <v>97918</v>
      </c>
      <c r="J213" s="1">
        <f>N(5414733144)</f>
        <v>5414733144</v>
      </c>
      <c r="K213" s="1">
        <f>N(5414736213)</f>
        <v>5414736213</v>
      </c>
    </row>
    <row r="214" spans="1:11" ht="12.75">
      <c r="A214" s="1" t="s">
        <v>11</v>
      </c>
      <c r="B214" t="str">
        <f>T("OR050 PRINEVILLE DISTRICT")</f>
        <v>OR050 PRINEVILLE DISTRICT</v>
      </c>
      <c r="C214" t="str">
        <f>T("3050 NE 3RD STREET")</f>
        <v>3050 NE 3RD STREET</v>
      </c>
      <c r="D214" t="s">
        <v>0</v>
      </c>
      <c r="E214" t="s">
        <v>0</v>
      </c>
      <c r="F214" t="s">
        <v>0</v>
      </c>
      <c r="G214" t="str">
        <f>T("PRINEVILLE")</f>
        <v>PRINEVILLE</v>
      </c>
      <c r="H214" t="str">
        <f t="shared" si="47"/>
        <v>OR </v>
      </c>
      <c r="I214" s="1">
        <f>N(97754)</f>
        <v>97754</v>
      </c>
      <c r="J214" s="1">
        <f>N(5414166700)</f>
        <v>5414166700</v>
      </c>
      <c r="K214" s="1">
        <f>N(5414166798)</f>
        <v>5414166798</v>
      </c>
    </row>
    <row r="215" spans="1:11" ht="12.75">
      <c r="A215" s="1" t="s">
        <v>11</v>
      </c>
      <c r="B215" t="str">
        <f>T("OR080 SALEM DISTRICT")</f>
        <v>OR080 SALEM DISTRICT</v>
      </c>
      <c r="C215" t="str">
        <f>T("1717 FABRY RD. SE")</f>
        <v>1717 FABRY RD. SE</v>
      </c>
      <c r="D215" t="s">
        <v>0</v>
      </c>
      <c r="E215" t="s">
        <v>0</v>
      </c>
      <c r="F215" t="s">
        <v>0</v>
      </c>
      <c r="G215" t="str">
        <f>T("SALEM")</f>
        <v>SALEM</v>
      </c>
      <c r="H215" t="str">
        <f t="shared" si="47"/>
        <v>OR </v>
      </c>
      <c r="I215" s="1">
        <f>N(97306)</f>
        <v>97306</v>
      </c>
      <c r="J215" s="1">
        <f>N(5033755646)</f>
        <v>5033755646</v>
      </c>
      <c r="K215" s="1">
        <f>N(5033755622)</f>
        <v>5033755622</v>
      </c>
    </row>
    <row r="216" spans="1:11" ht="12.75">
      <c r="A216" s="1" t="s">
        <v>11</v>
      </c>
      <c r="B216" t="str">
        <f>T("OR090 EUGENE DISTRICT")</f>
        <v>OR090 EUGENE DISTRICT</v>
      </c>
      <c r="C216" t="str">
        <f>T("PO BOX 10226")</f>
        <v>PO BOX 10226</v>
      </c>
      <c r="D216" t="s">
        <v>0</v>
      </c>
      <c r="E216" t="s">
        <v>0</v>
      </c>
      <c r="F216" t="s">
        <v>0</v>
      </c>
      <c r="G216" t="str">
        <f>T("EUGENE")</f>
        <v>EUGENE</v>
      </c>
      <c r="H216" t="str">
        <f t="shared" si="47"/>
        <v>OR </v>
      </c>
      <c r="I216" s="1">
        <f>N(97440)</f>
        <v>97440</v>
      </c>
      <c r="J216" s="1">
        <f>N(5416836600)</f>
        <v>5416836600</v>
      </c>
      <c r="K216" s="1">
        <f>N(5416836981)</f>
        <v>5416836981</v>
      </c>
    </row>
    <row r="217" spans="1:11" ht="12.75">
      <c r="A217" s="1" t="s">
        <v>11</v>
      </c>
      <c r="B217" t="str">
        <f>T("OR100 ROSEBURG DISTRICT")</f>
        <v>OR100 ROSEBURG DISTRICT</v>
      </c>
      <c r="C217" t="str">
        <f>T("777 NW GARDEN VALLEY BLVD.")</f>
        <v>777 NW GARDEN VALLEY BLVD.</v>
      </c>
      <c r="D217" t="s">
        <v>0</v>
      </c>
      <c r="E217" t="s">
        <v>0</v>
      </c>
      <c r="F217" t="s">
        <v>0</v>
      </c>
      <c r="G217" t="str">
        <f>T("ROSEBURG")</f>
        <v>ROSEBURG</v>
      </c>
      <c r="H217" t="str">
        <f t="shared" si="47"/>
        <v>OR </v>
      </c>
      <c r="I217" s="1">
        <f>N(97470)</f>
        <v>97470</v>
      </c>
      <c r="J217" s="1">
        <f>N(5414404930)</f>
        <v>5414404930</v>
      </c>
      <c r="K217" s="1">
        <f>N(5414404948)</f>
        <v>5414404948</v>
      </c>
    </row>
    <row r="218" spans="1:11" ht="12.75">
      <c r="A218" s="1" t="s">
        <v>11</v>
      </c>
      <c r="B218" t="str">
        <f>T("OR110 MEDFORD DISTRICT")</f>
        <v>OR110 MEDFORD DISTRICT</v>
      </c>
      <c r="C218" t="str">
        <f>T("3040 BIDDLE ROAD")</f>
        <v>3040 BIDDLE ROAD</v>
      </c>
      <c r="D218" t="s">
        <v>0</v>
      </c>
      <c r="E218" t="s">
        <v>0</v>
      </c>
      <c r="F218" t="s">
        <v>0</v>
      </c>
      <c r="G218" t="str">
        <f>T("MEDFORD")</f>
        <v>MEDFORD</v>
      </c>
      <c r="H218" t="str">
        <f t="shared" si="47"/>
        <v>OR </v>
      </c>
      <c r="I218" s="1">
        <f>N(97504)</f>
        <v>97504</v>
      </c>
      <c r="J218" s="1">
        <f>N(5417702200)</f>
        <v>5417702200</v>
      </c>
      <c r="K218" s="1">
        <f>N(5417702400)</f>
        <v>5417702400</v>
      </c>
    </row>
    <row r="219" spans="1:11" ht="12.75">
      <c r="A219" s="1" t="s">
        <v>11</v>
      </c>
      <c r="B219" t="str">
        <f>T("OR120 COOS BAY DISTRICT")</f>
        <v>OR120 COOS BAY DISTRICT</v>
      </c>
      <c r="C219" t="str">
        <f>T("1300 AIRPORT LANE")</f>
        <v>1300 AIRPORT LANE</v>
      </c>
      <c r="D219" t="s">
        <v>0</v>
      </c>
      <c r="E219" t="s">
        <v>0</v>
      </c>
      <c r="F219" t="s">
        <v>0</v>
      </c>
      <c r="G219" t="str">
        <f>T("NORTH BEND")</f>
        <v>NORTH BEND</v>
      </c>
      <c r="H219" t="str">
        <f t="shared" si="47"/>
        <v>OR </v>
      </c>
      <c r="I219" s="1">
        <f>N(97459)</f>
        <v>97459</v>
      </c>
      <c r="J219" s="1">
        <f>N(5417560100)</f>
        <v>5417560100</v>
      </c>
      <c r="K219" s="1">
        <f>N(5417514239)</f>
        <v>5417514239</v>
      </c>
    </row>
    <row r="220" spans="1:11" ht="12.75">
      <c r="A220" s="1" t="s">
        <v>11</v>
      </c>
      <c r="B220" t="str">
        <f>T("OR130 SPOKANE DISTRICT")</f>
        <v>OR130 SPOKANE DISTRICT</v>
      </c>
      <c r="C220" t="str">
        <f>T("1103 N. FANCHER ROAD")</f>
        <v>1103 N. FANCHER ROAD</v>
      </c>
      <c r="D220" t="s">
        <v>0</v>
      </c>
      <c r="E220" t="s">
        <v>0</v>
      </c>
      <c r="F220" t="s">
        <v>0</v>
      </c>
      <c r="G220" t="str">
        <f>T("SPOKANE")</f>
        <v>SPOKANE</v>
      </c>
      <c r="H220" t="str">
        <f t="shared" si="47"/>
        <v>OR </v>
      </c>
      <c r="I220" s="1">
        <f>N(99212)</f>
        <v>99212</v>
      </c>
      <c r="J220" s="1">
        <f>N(5095361200)</f>
        <v>5095361200</v>
      </c>
      <c r="K220" s="1">
        <f>N(5095361275)</f>
        <v>5095361275</v>
      </c>
    </row>
    <row r="221" spans="1:11" ht="12.75">
      <c r="A221" s="1" t="s">
        <v>11</v>
      </c>
      <c r="B221" t="str">
        <f>T("OR910 OFC OF THE STATE DIR")</f>
        <v>OR910 OFC OF THE STATE DIR</v>
      </c>
      <c r="C221" t="str">
        <f>T("PO BOX 2965")</f>
        <v>PO BOX 2965</v>
      </c>
      <c r="D221" t="s">
        <v>0</v>
      </c>
      <c r="E221" t="s">
        <v>0</v>
      </c>
      <c r="F221" t="s">
        <v>0</v>
      </c>
      <c r="G221" t="str">
        <f>T("PORTLAND")</f>
        <v>PORTLAND</v>
      </c>
      <c r="H221" t="str">
        <f t="shared" si="47"/>
        <v>OR </v>
      </c>
      <c r="I221" s="1">
        <f>N(97208)</f>
        <v>97208</v>
      </c>
      <c r="J221" s="1">
        <f>N(5038086023)</f>
        <v>5038086023</v>
      </c>
      <c r="K221" s="1">
        <f>N(5038086390)</f>
        <v>5038086390</v>
      </c>
    </row>
    <row r="222" spans="1:11" ht="12.75">
      <c r="A222" s="1" t="s">
        <v>11</v>
      </c>
      <c r="B222" t="str">
        <f>T("OR930 DIV OF RES PLAN/USE/PROT")</f>
        <v>OR930 DIV OF RES PLAN/USE/PROT</v>
      </c>
      <c r="C222" t="str">
        <f>T("PO BOX 2965")</f>
        <v>PO BOX 2965</v>
      </c>
      <c r="D222" t="s">
        <v>0</v>
      </c>
      <c r="E222" t="s">
        <v>0</v>
      </c>
      <c r="F222" t="s">
        <v>0</v>
      </c>
      <c r="G222" t="str">
        <f>T("PORTLAND")</f>
        <v>PORTLAND</v>
      </c>
      <c r="H222" t="str">
        <f t="shared" si="47"/>
        <v>OR </v>
      </c>
      <c r="I222" s="1">
        <f>N(97208)</f>
        <v>97208</v>
      </c>
      <c r="J222" s="1">
        <f>N(5038086056)</f>
        <v>5038086056</v>
      </c>
      <c r="K222" s="1">
        <f>N(5038086021)</f>
        <v>5038086021</v>
      </c>
    </row>
    <row r="223" spans="1:11" ht="12.75">
      <c r="A223" s="1" t="s">
        <v>11</v>
      </c>
      <c r="B223" t="str">
        <f>T("OR950 DIV OF MGMT SVCS")</f>
        <v>OR950 DIV OF MGMT SVCS</v>
      </c>
      <c r="C223" t="str">
        <f>T("PO BOX 2965")</f>
        <v>PO BOX 2965</v>
      </c>
      <c r="D223" t="s">
        <v>0</v>
      </c>
      <c r="E223" t="s">
        <v>0</v>
      </c>
      <c r="F223" t="s">
        <v>0</v>
      </c>
      <c r="G223" t="str">
        <f>T("PORTLAND")</f>
        <v>PORTLAND</v>
      </c>
      <c r="H223" t="str">
        <f t="shared" si="47"/>
        <v>OR </v>
      </c>
      <c r="I223" s="1">
        <f>N(97208)</f>
        <v>97208</v>
      </c>
      <c r="J223" s="1">
        <f>N(5038086092)</f>
        <v>5038086092</v>
      </c>
      <c r="K223" s="1">
        <f>N(5038086540)</f>
        <v>5038086540</v>
      </c>
    </row>
    <row r="224" spans="1:11" ht="12.75">
      <c r="A224" s="1" t="s">
        <v>11</v>
      </c>
      <c r="B224" t="str">
        <f>T("UT010 FILLMORE FIELD OFC")</f>
        <v>UT010 FILLMORE FIELD OFC</v>
      </c>
      <c r="C224" t="str">
        <f aca="true" t="shared" si="48" ref="C224:C236">T("BUREAU OF LAND MANAGEMENT")</f>
        <v>BUREAU OF LAND MANAGEMENT</v>
      </c>
      <c r="D224" t="str">
        <f>T("FILLMORE FIELD OFFICE")</f>
        <v>FILLMORE FIELD OFFICE</v>
      </c>
      <c r="E224" t="str">
        <f>T("35 EAST 500 NORTH")</f>
        <v>35 EAST 500 NORTH</v>
      </c>
      <c r="F224" t="s">
        <v>0</v>
      </c>
      <c r="G224" t="str">
        <f>T("FILLMORE")</f>
        <v>FILLMORE</v>
      </c>
      <c r="H224" t="str">
        <f aca="true" t="shared" si="49" ref="H224:H236">T("UT ")</f>
        <v>UT </v>
      </c>
      <c r="I224" s="1">
        <f>N(84631)</f>
        <v>84631</v>
      </c>
      <c r="J224" s="1">
        <f>N(4357433100)</f>
        <v>4357433100</v>
      </c>
      <c r="K224" s="1">
        <f>N(4357433135)</f>
        <v>4357433135</v>
      </c>
    </row>
    <row r="225" spans="1:11" ht="12.75">
      <c r="A225" s="1" t="s">
        <v>11</v>
      </c>
      <c r="B225" t="str">
        <f>T("UT020 SALT LAKE FIELD OFC")</f>
        <v>UT020 SALT LAKE FIELD OFC</v>
      </c>
      <c r="C225" t="str">
        <f t="shared" si="48"/>
        <v>BUREAU OF LAND MANAGEMENT</v>
      </c>
      <c r="D225" t="str">
        <f>T("SALT LAKE FIELD OFFICE")</f>
        <v>SALT LAKE FIELD OFFICE</v>
      </c>
      <c r="E225" t="str">
        <f>T("2370 SOUTH 2300 WEST")</f>
        <v>2370 SOUTH 2300 WEST</v>
      </c>
      <c r="F225" t="s">
        <v>0</v>
      </c>
      <c r="G225" t="str">
        <f>T("SALT LAKE CITY")</f>
        <v>SALT LAKE CITY</v>
      </c>
      <c r="H225" t="str">
        <f t="shared" si="49"/>
        <v>UT </v>
      </c>
      <c r="I225" s="1">
        <f>N(84119)</f>
        <v>84119</v>
      </c>
      <c r="J225" s="1">
        <f>N(8019774300)</f>
        <v>8019774300</v>
      </c>
      <c r="K225" s="1">
        <f>N(8019774397)</f>
        <v>8019774397</v>
      </c>
    </row>
    <row r="226" spans="1:11" ht="12.75">
      <c r="A226" s="1" t="s">
        <v>11</v>
      </c>
      <c r="B226" t="str">
        <f>T("UT030 GSE NATL MONUMENT")</f>
        <v>UT030 GSE NATL MONUMENT</v>
      </c>
      <c r="C226" t="str">
        <f t="shared" si="48"/>
        <v>BUREAU OF LAND MANAGEMENT</v>
      </c>
      <c r="D226" t="str">
        <f>T("GSENM")</f>
        <v>GSENM</v>
      </c>
      <c r="E226" t="str">
        <f>T("P.O. BOX 225")</f>
        <v>P.O. BOX 225</v>
      </c>
      <c r="F226" t="s">
        <v>0</v>
      </c>
      <c r="G226" t="str">
        <f>T("ESCALANTE")</f>
        <v>ESCALANTE</v>
      </c>
      <c r="H226" t="str">
        <f t="shared" si="49"/>
        <v>UT </v>
      </c>
      <c r="I226" s="1">
        <f>N(84726)</f>
        <v>84726</v>
      </c>
      <c r="J226" s="1">
        <f>N(4358265600)</f>
        <v>4358265600</v>
      </c>
      <c r="K226" s="1">
        <f>N(4358265650)</f>
        <v>4358265650</v>
      </c>
    </row>
    <row r="227" spans="1:11" ht="12.75">
      <c r="A227" s="1" t="s">
        <v>11</v>
      </c>
      <c r="B227" t="str">
        <f>T("UT040 CEDAR CITY DISTRICT")</f>
        <v>UT040 CEDAR CITY DISTRICT</v>
      </c>
      <c r="C227" t="str">
        <f t="shared" si="48"/>
        <v>BUREAU OF LAND MANAGEMENT</v>
      </c>
      <c r="D227" t="str">
        <f>T("CEDAR CITY DISTRICT OFFICE")</f>
        <v>CEDAR CITY DISTRICT OFFICE</v>
      </c>
      <c r="E227" t="str">
        <f>T("176 EAST D.L. SARGENT DRIVE")</f>
        <v>176 EAST D.L. SARGENT DRIVE</v>
      </c>
      <c r="F227" t="s">
        <v>0</v>
      </c>
      <c r="G227" t="str">
        <f>T("CEDAR CITY")</f>
        <v>CEDAR CITY</v>
      </c>
      <c r="H227" t="str">
        <f t="shared" si="49"/>
        <v>UT </v>
      </c>
      <c r="I227" s="1">
        <f>N(84720)</f>
        <v>84720</v>
      </c>
      <c r="J227" s="1">
        <f>N(4355862401)</f>
        <v>4355862401</v>
      </c>
      <c r="K227" s="1">
        <f>N(4358653058)</f>
        <v>4358653058</v>
      </c>
    </row>
    <row r="228" spans="1:11" ht="12.75">
      <c r="A228" s="1" t="s">
        <v>11</v>
      </c>
      <c r="B228" t="str">
        <f>T("UT050 RICHFIELD FIELD OFC")</f>
        <v>UT050 RICHFIELD FIELD OFC</v>
      </c>
      <c r="C228" t="str">
        <f t="shared" si="48"/>
        <v>BUREAU OF LAND MANAGEMENT</v>
      </c>
      <c r="D228" t="str">
        <f>T("RICHFIELD FIELD OFFICE")</f>
        <v>RICHFIELD FIELD OFFICE</v>
      </c>
      <c r="E228" t="str">
        <f>T("150 EAST 900 NORTH")</f>
        <v>150 EAST 900 NORTH</v>
      </c>
      <c r="F228" t="s">
        <v>0</v>
      </c>
      <c r="G228" t="str">
        <f>T("RICHFIELD")</f>
        <v>RICHFIELD</v>
      </c>
      <c r="H228" t="str">
        <f t="shared" si="49"/>
        <v>UT </v>
      </c>
      <c r="I228" s="1">
        <f>N(84701)</f>
        <v>84701</v>
      </c>
      <c r="J228" s="1">
        <f>N(4358961500)</f>
        <v>4358961500</v>
      </c>
      <c r="K228" s="1">
        <f>N(4358961550)</f>
        <v>4358961550</v>
      </c>
    </row>
    <row r="229" spans="1:11" ht="12.75">
      <c r="A229" s="1" t="s">
        <v>11</v>
      </c>
      <c r="B229" t="str">
        <f>T("UT060 MOAB FIELD OFC")</f>
        <v>UT060 MOAB FIELD OFC</v>
      </c>
      <c r="C229" t="str">
        <f t="shared" si="48"/>
        <v>BUREAU OF LAND MANAGEMENT</v>
      </c>
      <c r="D229" t="str">
        <f>T("MOAB FIELD OFFICE")</f>
        <v>MOAB FIELD OFFICE</v>
      </c>
      <c r="E229" t="str">
        <f>T("82 EAST DOGWOOD")</f>
        <v>82 EAST DOGWOOD</v>
      </c>
      <c r="F229" t="s">
        <v>0</v>
      </c>
      <c r="G229" t="str">
        <f>T("MOAB")</f>
        <v>MOAB</v>
      </c>
      <c r="H229" t="str">
        <f t="shared" si="49"/>
        <v>UT </v>
      </c>
      <c r="I229" s="1">
        <f>N(84532)</f>
        <v>84532</v>
      </c>
      <c r="J229" s="1">
        <f>N(4352596111)</f>
        <v>4352596111</v>
      </c>
      <c r="K229" s="1">
        <f>N(4352592106)</f>
        <v>4352592106</v>
      </c>
    </row>
    <row r="230" spans="1:11" ht="12.75">
      <c r="A230" s="1" t="s">
        <v>11</v>
      </c>
      <c r="B230" t="str">
        <f>T("UT070 PRICE FIELD OFC")</f>
        <v>UT070 PRICE FIELD OFC</v>
      </c>
      <c r="C230" t="str">
        <f t="shared" si="48"/>
        <v>BUREAU OF LAND MANAGEMENT</v>
      </c>
      <c r="D230" t="str">
        <f>T("PRICE FIELD OFFICE")</f>
        <v>PRICE FIELD OFFICE</v>
      </c>
      <c r="E230" t="str">
        <f>T("125 SOUTH 600 WEST")</f>
        <v>125 SOUTH 600 WEST</v>
      </c>
      <c r="F230" t="s">
        <v>0</v>
      </c>
      <c r="G230" t="str">
        <f>T("PRICE")</f>
        <v>PRICE</v>
      </c>
      <c r="H230" t="str">
        <f t="shared" si="49"/>
        <v>UT </v>
      </c>
      <c r="I230" s="1">
        <f>N(84501)</f>
        <v>84501</v>
      </c>
      <c r="J230" s="1">
        <f>N(4356363600)</f>
        <v>4356363600</v>
      </c>
      <c r="K230" s="1">
        <f>N(4356363657)</f>
        <v>4356363657</v>
      </c>
    </row>
    <row r="231" spans="1:11" ht="12.75">
      <c r="A231" s="1" t="s">
        <v>11</v>
      </c>
      <c r="B231" t="str">
        <f>T("UT080 VERNAL FIELD OFC")</f>
        <v>UT080 VERNAL FIELD OFC</v>
      </c>
      <c r="C231" t="str">
        <f t="shared" si="48"/>
        <v>BUREAU OF LAND MANAGEMENT</v>
      </c>
      <c r="D231" t="str">
        <f>T("VERNAL FIELD OFFICE")</f>
        <v>VERNAL FIELD OFFICE</v>
      </c>
      <c r="E231" t="str">
        <f>T("170 SOUTH 500 EAST")</f>
        <v>170 SOUTH 500 EAST</v>
      </c>
      <c r="F231" t="s">
        <v>0</v>
      </c>
      <c r="G231" t="str">
        <f>T("VERNAL")</f>
        <v>VERNAL</v>
      </c>
      <c r="H231" t="str">
        <f t="shared" si="49"/>
        <v>UT </v>
      </c>
      <c r="I231" s="1">
        <f>N(84078)</f>
        <v>84078</v>
      </c>
      <c r="J231" s="1">
        <f>N(4357814400)</f>
        <v>4357814400</v>
      </c>
      <c r="K231" s="1">
        <f>N(4357814400)</f>
        <v>4357814400</v>
      </c>
    </row>
    <row r="232" spans="1:11" ht="12.75">
      <c r="A232" s="1" t="s">
        <v>11</v>
      </c>
      <c r="B232" t="str">
        <f>T("UT090 MONTICELLO FIELD OFC")</f>
        <v>UT090 MONTICELLO FIELD OFC</v>
      </c>
      <c r="C232" t="str">
        <f t="shared" si="48"/>
        <v>BUREAU OF LAND MANAGEMENT</v>
      </c>
      <c r="D232" t="str">
        <f>T("MONTICELLO FIELD OFFICE")</f>
        <v>MONTICELLO FIELD OFFICE</v>
      </c>
      <c r="E232" t="str">
        <f>T("P.O. BOX 7")</f>
        <v>P.O. BOX 7</v>
      </c>
      <c r="F232" t="s">
        <v>0</v>
      </c>
      <c r="G232" t="str">
        <f>T("MONTICELLO")</f>
        <v>MONTICELLO</v>
      </c>
      <c r="H232" t="str">
        <f t="shared" si="49"/>
        <v>UT </v>
      </c>
      <c r="I232" s="1">
        <f>N(84535)</f>
        <v>84535</v>
      </c>
      <c r="J232" s="1">
        <f>N(4355871500)</f>
        <v>4355871500</v>
      </c>
      <c r="K232" s="1">
        <f>N(4355871518)</f>
        <v>4355871518</v>
      </c>
    </row>
    <row r="233" spans="1:11" ht="12.75">
      <c r="A233" s="1" t="s">
        <v>11</v>
      </c>
      <c r="B233" t="str">
        <f>T("UT910 OFC OF STATE DIRECTOR")</f>
        <v>UT910 OFC OF STATE DIRECTOR</v>
      </c>
      <c r="C233" t="str">
        <f t="shared" si="48"/>
        <v>BUREAU OF LAND MANAGEMENT</v>
      </c>
      <c r="D233" t="str">
        <f>T("UTAH STATE OFFICE")</f>
        <v>UTAH STATE OFFICE</v>
      </c>
      <c r="E233" t="str">
        <f>T("P.O. BOX 45155")</f>
        <v>P.O. BOX 45155</v>
      </c>
      <c r="F233" t="s">
        <v>0</v>
      </c>
      <c r="G233" t="str">
        <f>T("SALT LAKE CITY")</f>
        <v>SALT LAKE CITY</v>
      </c>
      <c r="H233" t="str">
        <f t="shared" si="49"/>
        <v>UT </v>
      </c>
      <c r="I233" s="1">
        <f>N(841450155)</f>
        <v>841450155</v>
      </c>
      <c r="J233" s="1">
        <f>N(8015394010)</f>
        <v>8015394010</v>
      </c>
      <c r="K233" s="1">
        <f>N(8015394013)</f>
        <v>8015394013</v>
      </c>
    </row>
    <row r="234" spans="1:11" ht="12.75">
      <c r="A234" s="1" t="s">
        <v>11</v>
      </c>
      <c r="B234" t="str">
        <f>T("UT930 DIV OF NAT RES")</f>
        <v>UT930 DIV OF NAT RES</v>
      </c>
      <c r="C234" t="str">
        <f t="shared" si="48"/>
        <v>BUREAU OF LAND MANAGEMENT</v>
      </c>
      <c r="D234" t="str">
        <f>T("UTAH STATE OFFICE")</f>
        <v>UTAH STATE OFFICE</v>
      </c>
      <c r="E234" t="str">
        <f>T("P.O. BOX 45155")</f>
        <v>P.O. BOX 45155</v>
      </c>
      <c r="F234" t="s">
        <v>0</v>
      </c>
      <c r="G234" t="str">
        <f>T("SALT LAKE CITY")</f>
        <v>SALT LAKE CITY</v>
      </c>
      <c r="H234" t="str">
        <f t="shared" si="49"/>
        <v>UT </v>
      </c>
      <c r="I234" s="1">
        <f>N(841450155)</f>
        <v>841450155</v>
      </c>
      <c r="J234" s="1">
        <f>N(8015394031)</f>
        <v>8015394031</v>
      </c>
      <c r="K234" s="1">
        <f>N(8015394200)</f>
        <v>8015394200</v>
      </c>
    </row>
    <row r="235" spans="1:11" ht="12.75">
      <c r="A235" s="1" t="s">
        <v>11</v>
      </c>
      <c r="B235" t="str">
        <f>T("UT920 DIV OF LANDS &amp; MINERALS")</f>
        <v>UT920 DIV OF LANDS &amp; MINERALS</v>
      </c>
      <c r="C235" t="str">
        <f t="shared" si="48"/>
        <v>BUREAU OF LAND MANAGEMENT</v>
      </c>
      <c r="D235" t="str">
        <f>T("UTAH STATE OFFICE")</f>
        <v>UTAH STATE OFFICE</v>
      </c>
      <c r="E235" t="str">
        <f>T("P.O. BOX 45155")</f>
        <v>P.O. BOX 45155</v>
      </c>
      <c r="F235" t="s">
        <v>0</v>
      </c>
      <c r="G235" t="str">
        <f>T("SALT LAKE CITY")</f>
        <v>SALT LAKE CITY</v>
      </c>
      <c r="H235" t="str">
        <f t="shared" si="49"/>
        <v>UT </v>
      </c>
      <c r="I235" s="1">
        <f>N(841450155)</f>
        <v>841450155</v>
      </c>
      <c r="J235" s="1">
        <f>N(8015394051)</f>
        <v>8015394051</v>
      </c>
      <c r="K235" s="1">
        <f>N(8015394074)</f>
        <v>8015394074</v>
      </c>
    </row>
    <row r="236" spans="1:11" ht="12.75">
      <c r="A236" s="1" t="s">
        <v>11</v>
      </c>
      <c r="B236" t="str">
        <f>T("UT950 DIV OF SUPPORT SERVICES")</f>
        <v>UT950 DIV OF SUPPORT SERVICES</v>
      </c>
      <c r="C236" t="str">
        <f t="shared" si="48"/>
        <v>BUREAU OF LAND MANAGEMENT</v>
      </c>
      <c r="D236" t="str">
        <f>T("UTAH STATE OFFICE")</f>
        <v>UTAH STATE OFFICE</v>
      </c>
      <c r="E236" t="str">
        <f>T("P.O. BOX 45155")</f>
        <v>P.O. BOX 45155</v>
      </c>
      <c r="F236" t="s">
        <v>0</v>
      </c>
      <c r="G236" t="str">
        <f>T("SALT LAKE CITY")</f>
        <v>SALT LAKE CITY</v>
      </c>
      <c r="H236" t="str">
        <f t="shared" si="49"/>
        <v>UT </v>
      </c>
      <c r="I236" s="1">
        <f>N(841450155)</f>
        <v>841450155</v>
      </c>
      <c r="J236" s="1">
        <f>N(8015394165)</f>
        <v>8015394165</v>
      </c>
      <c r="K236" s="1">
        <f>N(8015394222)</f>
        <v>8015394222</v>
      </c>
    </row>
    <row r="237" spans="1:11" ht="12.75">
      <c r="A237" s="1" t="s">
        <v>11</v>
      </c>
      <c r="B237" t="str">
        <f>T("WO100 THE OFC OF THE DIRECTOR")</f>
        <v>WO100 THE OFC OF THE DIRECTOR</v>
      </c>
      <c r="C237" t="str">
        <f>T("USDI  BLM  WO 100")</f>
        <v>USDI  BLM  WO 100</v>
      </c>
      <c r="D237" t="str">
        <f>T("1849 C STREET  NW  ROOM 5660")</f>
        <v>1849 C STREET  NW  ROOM 5660</v>
      </c>
      <c r="E237" t="str">
        <f>T("ATTN: JANICE SHAY")</f>
        <v>ATTN: JANICE SHAY</v>
      </c>
      <c r="F237" t="s">
        <v>0</v>
      </c>
      <c r="G237" t="str">
        <f>T("WASHINGTON")</f>
        <v>WASHINGTON</v>
      </c>
      <c r="H237" t="str">
        <f>T("DC ")</f>
        <v>DC </v>
      </c>
      <c r="I237" s="1">
        <f>N(20240)</f>
        <v>20240</v>
      </c>
      <c r="J237" s="1">
        <f>N(2022083801)</f>
        <v>2022083801</v>
      </c>
      <c r="K237" s="1">
        <f>N(2022085242)</f>
        <v>2022085242</v>
      </c>
    </row>
    <row r="238" spans="1:11" ht="12.75">
      <c r="A238" s="1" t="s">
        <v>11</v>
      </c>
      <c r="B238" t="str">
        <f>T("WO200 ASST DIR RENEW RES/PLNG")</f>
        <v>WO200 ASST DIR RENEW RES/PLNG</v>
      </c>
      <c r="C238" t="str">
        <f>T("USDI  BLM  WO 200")</f>
        <v>USDI  BLM  WO 200</v>
      </c>
      <c r="D238" t="str">
        <f>T("1849 C STREET  NW  ROOM 5650")</f>
        <v>1849 C STREET  NW  ROOM 5650</v>
      </c>
      <c r="E238" t="str">
        <f>T("ATTN:  HENRI BISSON")</f>
        <v>ATTN:  HENRI BISSON</v>
      </c>
      <c r="F238" t="s">
        <v>0</v>
      </c>
      <c r="G238" t="str">
        <f>T("WASHINGTON")</f>
        <v>WASHINGTON</v>
      </c>
      <c r="H238" t="str">
        <f>T("DC ")</f>
        <v>DC </v>
      </c>
      <c r="I238" s="1">
        <f>N(20240)</f>
        <v>20240</v>
      </c>
      <c r="J238" s="1">
        <f>N(2022084896)</f>
        <v>2022084896</v>
      </c>
      <c r="K238" s="1">
        <f>N(2022085010)</f>
        <v>2022085010</v>
      </c>
    </row>
    <row r="239" spans="1:11" ht="12.75">
      <c r="A239" s="1" t="s">
        <v>11</v>
      </c>
      <c r="B239" t="str">
        <f>T("WO300 ASST DIR MRLS RLY RES PR")</f>
        <v>WO300 ASST DIR MRLS RLY RES PR</v>
      </c>
      <c r="C239" t="str">
        <f>T("USDI  BLM  WO 300")</f>
        <v>USDI  BLM  WO 300</v>
      </c>
      <c r="D239" t="str">
        <f>T("1849 C STREET  NW  ROOM 5627")</f>
        <v>1849 C STREET  NW  ROOM 5627</v>
      </c>
      <c r="E239" t="str">
        <f>T("ATTN:  PETE CULP")</f>
        <v>ATTN:  PETE CULP</v>
      </c>
      <c r="F239" t="s">
        <v>0</v>
      </c>
      <c r="G239" t="str">
        <f>T("WASHINGTON")</f>
        <v>WASHINGTON</v>
      </c>
      <c r="H239" t="str">
        <f>T("DC ")</f>
        <v>DC </v>
      </c>
      <c r="I239" s="1">
        <f>N(20240)</f>
        <v>20240</v>
      </c>
      <c r="J239" s="1">
        <f>N(2022084201)</f>
        <v>2022084201</v>
      </c>
      <c r="K239" s="1">
        <f>N(2022084800)</f>
        <v>2022084800</v>
      </c>
    </row>
    <row r="240" spans="1:11" ht="12.75">
      <c r="A240" s="1" t="s">
        <v>11</v>
      </c>
      <c r="B240" t="str">
        <f>T("WO600 ASST DIR COMMUNICATIONS")</f>
        <v>WO600 ASST DIR COMMUNICATIONS</v>
      </c>
      <c r="C240" t="str">
        <f>T("USDI  BLM  WO 600")</f>
        <v>USDI  BLM  WO 600</v>
      </c>
      <c r="D240" t="str">
        <f>T("1849 C STREET  NW  ROOM 5647")</f>
        <v>1849 C STREET  NW  ROOM 5647</v>
      </c>
      <c r="E240" t="str">
        <f>T("ATTN:  LARRY FINFER")</f>
        <v>ATTN:  LARRY FINFER</v>
      </c>
      <c r="F240" t="s">
        <v>0</v>
      </c>
      <c r="G240" t="str">
        <f>T("WASHINGTON")</f>
        <v>WASHINGTON</v>
      </c>
      <c r="H240" t="str">
        <f>T("DC ")</f>
        <v>DC </v>
      </c>
      <c r="I240" s="1">
        <f>N(20240)</f>
        <v>20240</v>
      </c>
      <c r="J240" s="1">
        <f>N(2022086913)</f>
        <v>2022086913</v>
      </c>
      <c r="K240" s="1">
        <f>N(2022086769)</f>
        <v>2022086769</v>
      </c>
    </row>
    <row r="241" spans="1:11" ht="12.75">
      <c r="A241" s="1" t="s">
        <v>11</v>
      </c>
      <c r="B241" t="str">
        <f>T("WY010 WORLAND FIELD OFC")</f>
        <v>WY010 WORLAND FIELD OFC</v>
      </c>
      <c r="C241" t="str">
        <f>T("101 SOUTH 23RD STREET")</f>
        <v>101 SOUTH 23RD STREET</v>
      </c>
      <c r="D241" t="str">
        <f>T("P. O. BOX 119")</f>
        <v>P. O. BOX 119</v>
      </c>
      <c r="E241" t="str">
        <f>T("ATTN: KERMIT JOHNSON")</f>
        <v>ATTN: KERMIT JOHNSON</v>
      </c>
      <c r="F241" t="s">
        <v>0</v>
      </c>
      <c r="G241" t="str">
        <f>T("WORLAND")</f>
        <v>WORLAND</v>
      </c>
      <c r="H241" t="str">
        <f aca="true" t="shared" si="50" ref="H241:H254">T("WY ")</f>
        <v>WY </v>
      </c>
      <c r="I241" s="1">
        <f>N(82401)</f>
        <v>82401</v>
      </c>
      <c r="J241" s="1">
        <f aca="true" t="shared" si="51" ref="J241:J254">N(3077756058)</f>
        <v>3077756058</v>
      </c>
      <c r="K241" s="1">
        <f>N(3073476195)</f>
        <v>3073476195</v>
      </c>
    </row>
    <row r="242" spans="1:11" ht="12.75">
      <c r="A242" s="1" t="s">
        <v>11</v>
      </c>
      <c r="B242" t="str">
        <f>T("WY020 CODY FIELD OFC")</f>
        <v>WY020 CODY FIELD OFC</v>
      </c>
      <c r="C242" t="str">
        <f>T("1002 BLACKBURN")</f>
        <v>1002 BLACKBURN</v>
      </c>
      <c r="D242" t="str">
        <f>T("P. O. BOX 518")</f>
        <v>P. O. BOX 518</v>
      </c>
      <c r="E242" t="str">
        <f>T("ATTN: KERMIT JOHNSON")</f>
        <v>ATTN: KERMIT JOHNSON</v>
      </c>
      <c r="F242" t="s">
        <v>0</v>
      </c>
      <c r="G242" t="str">
        <f>T("CODY")</f>
        <v>CODY</v>
      </c>
      <c r="H242" t="str">
        <f t="shared" si="50"/>
        <v>WY </v>
      </c>
      <c r="I242" s="1">
        <f>N(82414)</f>
        <v>82414</v>
      </c>
      <c r="J242" s="1">
        <f t="shared" si="51"/>
        <v>3077756058</v>
      </c>
      <c r="K242" s="1">
        <f>N(3075277716)</f>
        <v>3075277716</v>
      </c>
    </row>
    <row r="243" spans="1:11" ht="12.75">
      <c r="A243" s="1" t="s">
        <v>11</v>
      </c>
      <c r="B243" t="str">
        <f>T("WY030 RAWLINS FIELD OFC")</f>
        <v>WY030 RAWLINS FIELD OFC</v>
      </c>
      <c r="C243" t="str">
        <f>T("1300 NORTH THIRD STREET")</f>
        <v>1300 NORTH THIRD STREET</v>
      </c>
      <c r="D243" t="str">
        <f>T("P. O. BOX 2407")</f>
        <v>P. O. BOX 2407</v>
      </c>
      <c r="E243" t="str">
        <f>T("ATTN: KERMIT JOHNSON")</f>
        <v>ATTN: KERMIT JOHNSON</v>
      </c>
      <c r="F243" t="s">
        <v>0</v>
      </c>
      <c r="G243" t="str">
        <f>T("RAWLINS")</f>
        <v>RAWLINS</v>
      </c>
      <c r="H243" t="str">
        <f t="shared" si="50"/>
        <v>WY </v>
      </c>
      <c r="I243" s="1">
        <f>N(82301)</f>
        <v>82301</v>
      </c>
      <c r="J243" s="1">
        <f t="shared" si="51"/>
        <v>3077756058</v>
      </c>
      <c r="K243" s="1">
        <f>N(3073284224)</f>
        <v>3073284224</v>
      </c>
    </row>
    <row r="244" spans="1:11" ht="12.75">
      <c r="A244" s="1" t="s">
        <v>11</v>
      </c>
      <c r="B244" t="str">
        <f>T("WY040 ROCK SPRINGS FIELD OFC")</f>
        <v>WY040 ROCK SPRINGS FIELD OFC</v>
      </c>
      <c r="C244" t="str">
        <f>T("280 HIGHWAY 191 NORTH")</f>
        <v>280 HIGHWAY 191 NORTH</v>
      </c>
      <c r="D244" t="str">
        <f>T("ATTN: KERMIT JOHNSON")</f>
        <v>ATTN: KERMIT JOHNSON</v>
      </c>
      <c r="E244" t="s">
        <v>0</v>
      </c>
      <c r="F244" t="s">
        <v>0</v>
      </c>
      <c r="G244" t="str">
        <f>T("ROCK SPRINGS")</f>
        <v>ROCK SPRINGS</v>
      </c>
      <c r="H244" t="str">
        <f t="shared" si="50"/>
        <v>WY </v>
      </c>
      <c r="I244" s="1">
        <f>N(82901)</f>
        <v>82901</v>
      </c>
      <c r="J244" s="1">
        <f t="shared" si="51"/>
        <v>3077756058</v>
      </c>
      <c r="K244" s="1">
        <f>N(3073626001)</f>
        <v>3073626001</v>
      </c>
    </row>
    <row r="245" spans="1:11" ht="12.75">
      <c r="A245" s="1" t="s">
        <v>11</v>
      </c>
      <c r="B245" t="str">
        <f>T("WY050 LANDER FIELD OFC")</f>
        <v>WY050 LANDER FIELD OFC</v>
      </c>
      <c r="C245" t="str">
        <f>T("1335 MAIN STREET")</f>
        <v>1335 MAIN STREET</v>
      </c>
      <c r="D245" t="str">
        <f>T("P. O. BOX 589")</f>
        <v>P. O. BOX 589</v>
      </c>
      <c r="E245" t="str">
        <f>T("ATTN: KERMIT JOHNSON")</f>
        <v>ATTN: KERMIT JOHNSON</v>
      </c>
      <c r="F245" t="s">
        <v>0</v>
      </c>
      <c r="G245" t="str">
        <f>T("LANDER")</f>
        <v>LANDER</v>
      </c>
      <c r="H245" t="str">
        <f t="shared" si="50"/>
        <v>WY </v>
      </c>
      <c r="I245" s="1">
        <f>N(82520)</f>
        <v>82520</v>
      </c>
      <c r="J245" s="1">
        <f t="shared" si="51"/>
        <v>3077756058</v>
      </c>
      <c r="K245" s="1">
        <f>N(3073328447)</f>
        <v>3073328447</v>
      </c>
    </row>
    <row r="246" spans="1:11" ht="12.75">
      <c r="A246" s="1" t="s">
        <v>11</v>
      </c>
      <c r="B246" t="str">
        <f>T("WY060 CASPER FIELD OFC")</f>
        <v>WY060 CASPER FIELD OFC</v>
      </c>
      <c r="C246" t="str">
        <f>T("1701 EAST E STREET")</f>
        <v>1701 EAST E STREET</v>
      </c>
      <c r="D246" t="str">
        <f>T("ATTN: KERMIT JOHNSON")</f>
        <v>ATTN: KERMIT JOHNSON</v>
      </c>
      <c r="E246" t="s">
        <v>0</v>
      </c>
      <c r="F246" t="s">
        <v>0</v>
      </c>
      <c r="G246" t="str">
        <f>T("CASPER")</f>
        <v>CASPER</v>
      </c>
      <c r="H246" t="str">
        <f t="shared" si="50"/>
        <v>WY </v>
      </c>
      <c r="I246" s="1">
        <f>N(82601)</f>
        <v>82601</v>
      </c>
      <c r="J246" s="1">
        <f t="shared" si="51"/>
        <v>3077756058</v>
      </c>
      <c r="K246" s="1">
        <f>N(3072341525)</f>
        <v>3072341525</v>
      </c>
    </row>
    <row r="247" spans="1:11" ht="12.75">
      <c r="A247" s="1" t="s">
        <v>11</v>
      </c>
      <c r="B247" t="str">
        <f>T("WY070 BUFFALO FIELD OFC")</f>
        <v>WY070 BUFFALO FIELD OFC</v>
      </c>
      <c r="C247" t="str">
        <f>T("1425 FORT STREET")</f>
        <v>1425 FORT STREET</v>
      </c>
      <c r="D247" t="str">
        <f>T("ATTN: KERMIT JOHNSON")</f>
        <v>ATTN: KERMIT JOHNSON</v>
      </c>
      <c r="E247" t="s">
        <v>0</v>
      </c>
      <c r="F247" t="s">
        <v>0</v>
      </c>
      <c r="G247" t="str">
        <f>T("BUFFALO")</f>
        <v>BUFFALO</v>
      </c>
      <c r="H247" t="str">
        <f t="shared" si="50"/>
        <v>WY </v>
      </c>
      <c r="I247" s="1">
        <f>N(82834)</f>
        <v>82834</v>
      </c>
      <c r="J247" s="1">
        <f t="shared" si="51"/>
        <v>3077756058</v>
      </c>
      <c r="K247" s="1">
        <f>N(3076841122)</f>
        <v>3076841122</v>
      </c>
    </row>
    <row r="248" spans="1:11" ht="12.75">
      <c r="A248" s="1" t="s">
        <v>11</v>
      </c>
      <c r="B248" t="str">
        <f>T("WY080 NEWCASTLE FIELD OFC")</f>
        <v>WY080 NEWCASTLE FIELD OFC</v>
      </c>
      <c r="C248" t="str">
        <f>T("1101 WASHINGTON BLVD.")</f>
        <v>1101 WASHINGTON BLVD.</v>
      </c>
      <c r="D248" t="str">
        <f>T("ATTN: KERMIT JOHNSON")</f>
        <v>ATTN: KERMIT JOHNSON</v>
      </c>
      <c r="E248" t="s">
        <v>0</v>
      </c>
      <c r="F248" t="s">
        <v>0</v>
      </c>
      <c r="G248" t="str">
        <f>T("NEWCASTLE")</f>
        <v>NEWCASTLE</v>
      </c>
      <c r="H248" t="str">
        <f t="shared" si="50"/>
        <v>WY </v>
      </c>
      <c r="I248" s="1">
        <f>N(82701)</f>
        <v>82701</v>
      </c>
      <c r="J248" s="1">
        <f t="shared" si="51"/>
        <v>3077756058</v>
      </c>
      <c r="K248" s="1">
        <f>N(3077464840)</f>
        <v>3077464840</v>
      </c>
    </row>
    <row r="249" spans="1:11" ht="12.75">
      <c r="A249" s="1" t="s">
        <v>11</v>
      </c>
      <c r="B249" t="str">
        <f>T("WY090 KEMMERER FIELD OFC")</f>
        <v>WY090 KEMMERER FIELD OFC</v>
      </c>
      <c r="C249" t="str">
        <f>T("312 HIGHWAY 189 NORTH")</f>
        <v>312 HIGHWAY 189 NORTH</v>
      </c>
      <c r="D249" t="str">
        <f>T("P. O. BOX 632")</f>
        <v>P. O. BOX 632</v>
      </c>
      <c r="E249" t="str">
        <f>T("ATTN: KERMIT JOHNSON")</f>
        <v>ATTN: KERMIT JOHNSON</v>
      </c>
      <c r="F249" t="s">
        <v>0</v>
      </c>
      <c r="G249" t="str">
        <f>T("KEMMERER")</f>
        <v>KEMMERER</v>
      </c>
      <c r="H249" t="str">
        <f t="shared" si="50"/>
        <v>WY </v>
      </c>
      <c r="I249" s="1">
        <f>N(83101)</f>
        <v>83101</v>
      </c>
      <c r="J249" s="1">
        <f t="shared" si="51"/>
        <v>3077756058</v>
      </c>
      <c r="K249" s="1">
        <f>N(3078284539)</f>
        <v>3078284539</v>
      </c>
    </row>
    <row r="250" spans="1:11" ht="12.75">
      <c r="A250" s="1" t="s">
        <v>11</v>
      </c>
      <c r="B250" t="str">
        <f>T("WY100 PINEDALE FIELD OFC")</f>
        <v>WY100 PINEDALE FIELD OFC</v>
      </c>
      <c r="C250" t="str">
        <f>T("432 EAST MILL STREET")</f>
        <v>432 EAST MILL STREET</v>
      </c>
      <c r="D250" t="str">
        <f>T("P. O. BOX 768")</f>
        <v>P. O. BOX 768</v>
      </c>
      <c r="E250" t="str">
        <f>T("ATTN: KERMIT JOHNSON")</f>
        <v>ATTN: KERMIT JOHNSON</v>
      </c>
      <c r="F250" t="s">
        <v>0</v>
      </c>
      <c r="G250" t="str">
        <f>T("PINEDALE")</f>
        <v>PINEDALE</v>
      </c>
      <c r="H250" t="str">
        <f t="shared" si="50"/>
        <v>WY </v>
      </c>
      <c r="I250" s="1">
        <f>N(82941)</f>
        <v>82941</v>
      </c>
      <c r="J250" s="1">
        <f t="shared" si="51"/>
        <v>3077756058</v>
      </c>
      <c r="K250" s="1">
        <f>N(3073675329)</f>
        <v>3073675329</v>
      </c>
    </row>
    <row r="251" spans="1:11" ht="12.75">
      <c r="A251" s="1" t="s">
        <v>11</v>
      </c>
      <c r="B251" t="str">
        <f>T("WY910 OFC OF THE STATE DIR")</f>
        <v>WY910 OFC OF THE STATE DIR</v>
      </c>
      <c r="C251" t="str">
        <f>T("2515 WARREN AVENUE")</f>
        <v>2515 WARREN AVENUE</v>
      </c>
      <c r="D251" t="str">
        <f>T("ATTN: KERMIT JOHNSON")</f>
        <v>ATTN: KERMIT JOHNSON</v>
      </c>
      <c r="E251" t="s">
        <v>0</v>
      </c>
      <c r="F251" t="s">
        <v>0</v>
      </c>
      <c r="G251" t="str">
        <f>T("CHEYENNE")</f>
        <v>CHEYENNE</v>
      </c>
      <c r="H251" t="str">
        <f t="shared" si="50"/>
        <v>WY </v>
      </c>
      <c r="I251" s="1">
        <f>N(82003)</f>
        <v>82003</v>
      </c>
      <c r="J251" s="1">
        <f t="shared" si="51"/>
        <v>3077756058</v>
      </c>
      <c r="K251" s="1">
        <f>N(3077756129)</f>
        <v>3077756129</v>
      </c>
    </row>
    <row r="252" spans="1:11" ht="12.75">
      <c r="A252" s="1" t="s">
        <v>11</v>
      </c>
      <c r="B252" t="str">
        <f>T("WY920 DIV OF MINERALS &amp; LANDS")</f>
        <v>WY920 DIV OF MINERALS &amp; LANDS</v>
      </c>
      <c r="C252" t="str">
        <f>T("2515 WARREN AVENUE")</f>
        <v>2515 WARREN AVENUE</v>
      </c>
      <c r="D252" t="str">
        <f>T("ATTN: KERMIT JOHNSON")</f>
        <v>ATTN: KERMIT JOHNSON</v>
      </c>
      <c r="E252" t="s">
        <v>0</v>
      </c>
      <c r="F252" t="s">
        <v>0</v>
      </c>
      <c r="G252" t="str">
        <f>T("CHEYENNE")</f>
        <v>CHEYENNE</v>
      </c>
      <c r="H252" t="str">
        <f t="shared" si="50"/>
        <v>WY </v>
      </c>
      <c r="I252" s="1">
        <f>N(82003)</f>
        <v>82003</v>
      </c>
      <c r="J252" s="1">
        <f t="shared" si="51"/>
        <v>3077756058</v>
      </c>
      <c r="K252" s="1">
        <f>N(3077756129)</f>
        <v>3077756129</v>
      </c>
    </row>
    <row r="253" spans="1:11" ht="12.75">
      <c r="A253" s="1" t="s">
        <v>11</v>
      </c>
      <c r="B253" t="str">
        <f>T("WY930 DIV OF RSC POLICY &amp; MGMT")</f>
        <v>WY930 DIV OF RSC POLICY &amp; MGMT</v>
      </c>
      <c r="C253" t="str">
        <f>T("2515 WARREN AVENUE")</f>
        <v>2515 WARREN AVENUE</v>
      </c>
      <c r="D253" t="str">
        <f>T("ATTN: KERMIT JOHNSON")</f>
        <v>ATTN: KERMIT JOHNSON</v>
      </c>
      <c r="E253" t="s">
        <v>0</v>
      </c>
      <c r="F253" t="s">
        <v>0</v>
      </c>
      <c r="G253" t="str">
        <f>T("CHEYENNE")</f>
        <v>CHEYENNE</v>
      </c>
      <c r="H253" t="str">
        <f t="shared" si="50"/>
        <v>WY </v>
      </c>
      <c r="I253" s="1">
        <f>N(82003)</f>
        <v>82003</v>
      </c>
      <c r="J253" s="1">
        <f t="shared" si="51"/>
        <v>3077756058</v>
      </c>
      <c r="K253" s="1">
        <f>N(3077756129)</f>
        <v>3077756129</v>
      </c>
    </row>
    <row r="254" spans="1:11" ht="12.75">
      <c r="A254" s="1" t="s">
        <v>11</v>
      </c>
      <c r="B254" t="str">
        <f>T("WY950 DIV OF SPT SVCS")</f>
        <v>WY950 DIV OF SPT SVCS</v>
      </c>
      <c r="C254" t="str">
        <f>T("2515 WARREN AVENUE")</f>
        <v>2515 WARREN AVENUE</v>
      </c>
      <c r="D254" t="str">
        <f>T("ATTN: KERMIT JOHNSON")</f>
        <v>ATTN: KERMIT JOHNSON</v>
      </c>
      <c r="E254" t="s">
        <v>0</v>
      </c>
      <c r="F254" t="s">
        <v>0</v>
      </c>
      <c r="G254" t="str">
        <f>T("CHEYENNE")</f>
        <v>CHEYENNE</v>
      </c>
      <c r="H254" t="str">
        <f t="shared" si="50"/>
        <v>WY </v>
      </c>
      <c r="I254" s="1">
        <f>N(82003)</f>
        <v>82003</v>
      </c>
      <c r="J254" s="1">
        <f t="shared" si="51"/>
        <v>3077756058</v>
      </c>
      <c r="K254" s="1">
        <f>N(3077756129)</f>
        <v>3077756129</v>
      </c>
    </row>
    <row r="255" spans="1:11" ht="12.75">
      <c r="A255" s="1" t="s">
        <v>11</v>
      </c>
      <c r="B255" t="str">
        <f>T("HR200 NATL HUMAN RES MGMT CTR")</f>
        <v>HR200 NATL HUMAN RES MGMT CTR</v>
      </c>
      <c r="C255" t="str">
        <f>T("BLM DFC BLDG 50")</f>
        <v>BLM DFC BLDG 50</v>
      </c>
      <c r="D255" t="str">
        <f>T("PO BOX 25047")</f>
        <v>PO BOX 25047</v>
      </c>
      <c r="E255" t="str">
        <f>T("HR 200")</f>
        <v>HR 200</v>
      </c>
      <c r="F255" t="s">
        <v>0</v>
      </c>
      <c r="G255" t="str">
        <f>T("DENVER")</f>
        <v>DENVER</v>
      </c>
      <c r="H255" t="str">
        <f>T("CO ")</f>
        <v>CO </v>
      </c>
      <c r="I255" s="1">
        <f>N(802250047)</f>
        <v>802250047</v>
      </c>
      <c r="J255" s="1">
        <f>N(3032366503)</f>
        <v>3032366503</v>
      </c>
      <c r="K255" s="1">
        <f>N(3032366685)</f>
        <v>3032366685</v>
      </c>
    </row>
    <row r="256" spans="1:11" ht="12.75">
      <c r="A256" s="1" t="s">
        <v>11</v>
      </c>
      <c r="B256" t="str">
        <f>T("CA910 OFC OF STATE DIRECTOR")</f>
        <v>CA910 OFC OF STATE DIRECTOR</v>
      </c>
      <c r="C256" t="str">
        <f>T("BUREAU OF LAND MANAGEMENT")</f>
        <v>BUREAU OF LAND MANAGEMENT</v>
      </c>
      <c r="D256" t="str">
        <f>T("2800 COTTAGE WAY  RM W 1834")</f>
        <v>2800 COTTAGE WAY  RM W 1834</v>
      </c>
      <c r="E256" t="s">
        <v>0</v>
      </c>
      <c r="F256" t="s">
        <v>0</v>
      </c>
      <c r="G256" t="str">
        <f>T("SACRAMENTO")</f>
        <v>SACRAMENTO</v>
      </c>
      <c r="H256" t="str">
        <f>T("CA ")</f>
        <v>CA </v>
      </c>
      <c r="I256" s="1">
        <f>N(95825)</f>
        <v>95825</v>
      </c>
      <c r="J256" s="1">
        <f>N(9169784600)</f>
        <v>9169784600</v>
      </c>
      <c r="K256" s="1">
        <f>N(9169784620)</f>
        <v>9169784620</v>
      </c>
    </row>
    <row r="257" spans="1:11" ht="12.75">
      <c r="A257" s="1" t="s">
        <v>11</v>
      </c>
      <c r="B257" t="str">
        <f>T("UT040 CEDAR CITY FIELD OFFICE")</f>
        <v>UT040 CEDAR CITY FIELD OFFICE</v>
      </c>
      <c r="C257" t="str">
        <f>T("176 EAST D.L. SARGENT DRIVE")</f>
        <v>176 EAST D.L. SARGENT DRIVE</v>
      </c>
      <c r="D257" t="s">
        <v>0</v>
      </c>
      <c r="E257" t="s">
        <v>0</v>
      </c>
      <c r="F257" t="s">
        <v>0</v>
      </c>
      <c r="G257" t="str">
        <f>T("CEDAR CITY")</f>
        <v>CEDAR CITY</v>
      </c>
      <c r="H257" t="str">
        <f>T("UT ")</f>
        <v>UT </v>
      </c>
      <c r="I257" s="1">
        <f>N(84720)</f>
        <v>84720</v>
      </c>
      <c r="J257" s="1" t="s">
        <v>0</v>
      </c>
      <c r="K257" s="1">
        <f>N(4358653058)</f>
        <v>4358653058</v>
      </c>
    </row>
    <row r="258" spans="1:11" ht="12.75">
      <c r="A258" s="1" t="s">
        <v>11</v>
      </c>
      <c r="B258" t="str">
        <f>T("WO200 ASST DIR RENEWAL RES")</f>
        <v>WO200 ASST DIR RENEWAL RES</v>
      </c>
      <c r="C258" t="str">
        <f>T("USDI  BLM  WO 200")</f>
        <v>USDI  BLM  WO 200</v>
      </c>
      <c r="D258" t="str">
        <f>T("1849 C STREET  NW  ROOM 5650")</f>
        <v>1849 C STREET  NW  ROOM 5650</v>
      </c>
      <c r="E258" t="str">
        <f>T("ATTN:  HENRI BISSON")</f>
        <v>ATTN:  HENRI BISSON</v>
      </c>
      <c r="F258" t="s">
        <v>0</v>
      </c>
      <c r="G258" t="str">
        <f>T("WASHINGTON")</f>
        <v>WASHINGTON</v>
      </c>
      <c r="H258" t="str">
        <f>T("DC ")</f>
        <v>DC </v>
      </c>
      <c r="I258" s="1">
        <f>N(20240)</f>
        <v>20240</v>
      </c>
      <c r="J258" s="1">
        <f>N(2022084896)</f>
        <v>2022084896</v>
      </c>
      <c r="K258" s="1">
        <f>N(2022085010)</f>
        <v>2022085010</v>
      </c>
    </row>
    <row r="259" spans="1:11" ht="12.75">
      <c r="A259" s="1" t="s">
        <v>11</v>
      </c>
      <c r="B259" t="str">
        <f>T("HR210 EMPLOYMENT &amp; COMP GRP")</f>
        <v>HR210 EMPLOYMENT &amp; COMP GRP</v>
      </c>
      <c r="C259" t="str">
        <f aca="true" t="shared" si="52" ref="C259:C265">T("BLM DFC BLDG 50")</f>
        <v>BLM DFC BLDG 50</v>
      </c>
      <c r="D259" t="str">
        <f aca="true" t="shared" si="53" ref="D259:D265">T("PO BOX 25047")</f>
        <v>PO BOX 25047</v>
      </c>
      <c r="E259" t="str">
        <f>T("HR 210")</f>
        <v>HR 210</v>
      </c>
      <c r="F259" t="s">
        <v>0</v>
      </c>
      <c r="G259" t="str">
        <f aca="true" t="shared" si="54" ref="G259:G265">T("DENVER")</f>
        <v>DENVER</v>
      </c>
      <c r="H259" t="str">
        <f aca="true" t="shared" si="55" ref="H259:H265">T("CO ")</f>
        <v>CO </v>
      </c>
      <c r="I259" s="1">
        <f aca="true" t="shared" si="56" ref="I259:I265">N(802250047)</f>
        <v>802250047</v>
      </c>
      <c r="J259" s="1">
        <f>N(3032366503)</f>
        <v>3032366503</v>
      </c>
      <c r="K259" s="1">
        <f>N(3032360475)</f>
        <v>3032360475</v>
      </c>
    </row>
    <row r="260" spans="1:11" ht="12.75">
      <c r="A260" s="1" t="s">
        <v>11</v>
      </c>
      <c r="B260" t="str">
        <f>T("NI130 DIV OF IRM OPS SUPPORT")</f>
        <v>NI130 DIV OF IRM OPS SUPPORT</v>
      </c>
      <c r="C260" t="str">
        <f t="shared" si="52"/>
        <v>BLM DFC BLDG 50</v>
      </c>
      <c r="D260" t="str">
        <f t="shared" si="53"/>
        <v>PO BOX 25047</v>
      </c>
      <c r="E260" t="str">
        <f>T("NI 130")</f>
        <v>NI 130</v>
      </c>
      <c r="F260" t="s">
        <v>0</v>
      </c>
      <c r="G260" t="str">
        <f t="shared" si="54"/>
        <v>DENVER</v>
      </c>
      <c r="H260" t="str">
        <f t="shared" si="55"/>
        <v>CO </v>
      </c>
      <c r="I260" s="1">
        <f t="shared" si="56"/>
        <v>802250047</v>
      </c>
      <c r="J260" s="1">
        <f>N(3032366519)</f>
        <v>3032366519</v>
      </c>
      <c r="K260" s="1">
        <f>N(3032360558)</f>
        <v>3032360558</v>
      </c>
    </row>
    <row r="261" spans="1:11" ht="12.75">
      <c r="A261" s="1" t="s">
        <v>11</v>
      </c>
      <c r="B261" t="str">
        <f>T("NI140 DIV OF ALMRS PROJECT MGT")</f>
        <v>NI140 DIV OF ALMRS PROJECT MGT</v>
      </c>
      <c r="C261" t="str">
        <f t="shared" si="52"/>
        <v>BLM DFC BLDG 50</v>
      </c>
      <c r="D261" t="str">
        <f t="shared" si="53"/>
        <v>PO BOX 25047</v>
      </c>
      <c r="E261" t="str">
        <f>T("NI 140")</f>
        <v>NI 140</v>
      </c>
      <c r="F261" t="s">
        <v>0</v>
      </c>
      <c r="G261" t="str">
        <f t="shared" si="54"/>
        <v>DENVER</v>
      </c>
      <c r="H261" t="str">
        <f t="shared" si="55"/>
        <v>CO </v>
      </c>
      <c r="I261" s="1">
        <f t="shared" si="56"/>
        <v>802250047</v>
      </c>
      <c r="J261" s="1">
        <f>N(3032364101)</f>
        <v>3032364101</v>
      </c>
      <c r="K261" s="1">
        <f>N(3032361974)</f>
        <v>3032361974</v>
      </c>
    </row>
    <row r="262" spans="1:11" ht="12.75">
      <c r="A262" s="1" t="s">
        <v>11</v>
      </c>
      <c r="B262" t="str">
        <f>T("ST110 DIV OF ARCH &amp; ENG SVCS")</f>
        <v>ST110 DIV OF ARCH &amp; ENG SVCS</v>
      </c>
      <c r="C262" t="str">
        <f t="shared" si="52"/>
        <v>BLM DFC BLDG 50</v>
      </c>
      <c r="D262" t="str">
        <f t="shared" si="53"/>
        <v>PO BOX 25047</v>
      </c>
      <c r="E262" t="str">
        <f>T("ST 110")</f>
        <v>ST 110</v>
      </c>
      <c r="F262" t="s">
        <v>0</v>
      </c>
      <c r="G262" t="str">
        <f t="shared" si="54"/>
        <v>DENVER</v>
      </c>
      <c r="H262" t="str">
        <f t="shared" si="55"/>
        <v>CO </v>
      </c>
      <c r="I262" s="1">
        <f t="shared" si="56"/>
        <v>802250047</v>
      </c>
      <c r="J262" s="1">
        <f>N(3039876851)</f>
        <v>3039876851</v>
      </c>
      <c r="K262" s="1">
        <f>N(3039876873)</f>
        <v>3039876873</v>
      </c>
    </row>
    <row r="263" spans="1:11" ht="12.75">
      <c r="A263" s="1" t="s">
        <v>11</v>
      </c>
      <c r="B263" t="str">
        <f>T("ST130 DIVISION OF SCIENCE")</f>
        <v>ST130 DIVISION OF SCIENCE</v>
      </c>
      <c r="C263" t="str">
        <f t="shared" si="52"/>
        <v>BLM DFC BLDG 50</v>
      </c>
      <c r="D263" t="str">
        <f t="shared" si="53"/>
        <v>PO BOX 25047</v>
      </c>
      <c r="E263" t="str">
        <f>T("ST 130")</f>
        <v>ST 130</v>
      </c>
      <c r="F263" t="s">
        <v>0</v>
      </c>
      <c r="G263" t="str">
        <f t="shared" si="54"/>
        <v>DENVER</v>
      </c>
      <c r="H263" t="str">
        <f t="shared" si="55"/>
        <v>CO </v>
      </c>
      <c r="I263" s="1">
        <f t="shared" si="56"/>
        <v>802250047</v>
      </c>
      <c r="J263" s="1">
        <f>N(3032361726)</f>
        <v>3032361726</v>
      </c>
      <c r="K263" s="1">
        <f>N(3032366450)</f>
        <v>3032366450</v>
      </c>
    </row>
    <row r="264" spans="1:11" ht="12.75">
      <c r="A264" s="1" t="s">
        <v>11</v>
      </c>
      <c r="B264" t="str">
        <f>T("ST170 DIV OF SCIENCE APPLIC")</f>
        <v>ST170 DIV OF SCIENCE APPLIC</v>
      </c>
      <c r="C264" t="str">
        <f t="shared" si="52"/>
        <v>BLM DFC BLDG 50</v>
      </c>
      <c r="D264" t="str">
        <f t="shared" si="53"/>
        <v>PO BOX 25047</v>
      </c>
      <c r="E264" t="str">
        <f>T("ST 134")</f>
        <v>ST 134</v>
      </c>
      <c r="F264" t="s">
        <v>0</v>
      </c>
      <c r="G264" t="str">
        <f t="shared" si="54"/>
        <v>DENVER</v>
      </c>
      <c r="H264" t="str">
        <f t="shared" si="55"/>
        <v>CO </v>
      </c>
      <c r="I264" s="1">
        <f t="shared" si="56"/>
        <v>802250047</v>
      </c>
      <c r="J264" s="1">
        <f>N(3032366354)</f>
        <v>3032366354</v>
      </c>
      <c r="K264" s="1">
        <f>N(3032366450)</f>
        <v>3032366450</v>
      </c>
    </row>
    <row r="265" spans="1:11" ht="12.75">
      <c r="A265" s="1" t="s">
        <v>11</v>
      </c>
      <c r="B265" t="str">
        <f>T("ST180 DIV OF ENVIR COMPLIANCE")</f>
        <v>ST180 DIV OF ENVIR COMPLIANCE</v>
      </c>
      <c r="C265" t="str">
        <f t="shared" si="52"/>
        <v>BLM DFC BLDG 50</v>
      </c>
      <c r="D265" t="str">
        <f t="shared" si="53"/>
        <v>PO BOX 25047</v>
      </c>
      <c r="E265" t="str">
        <f>T("ST 150")</f>
        <v>ST 150</v>
      </c>
      <c r="F265" t="s">
        <v>0</v>
      </c>
      <c r="G265" t="str">
        <f t="shared" si="54"/>
        <v>DENVER</v>
      </c>
      <c r="H265" t="str">
        <f t="shared" si="55"/>
        <v>CO </v>
      </c>
      <c r="I265" s="1">
        <f t="shared" si="56"/>
        <v>802250047</v>
      </c>
      <c r="J265" s="1">
        <f>N(3032368583)</f>
        <v>3032368583</v>
      </c>
      <c r="K265" s="1">
        <f>N(3032366450)</f>
        <v>3032366450</v>
      </c>
    </row>
    <row r="266" spans="1:11" ht="12.75">
      <c r="A266" s="1" t="s">
        <v>11</v>
      </c>
      <c r="B266" t="str">
        <f>T("CA650 RIDGECREST FIELD OFC")</f>
        <v>CA650 RIDGECREST FIELD OFC</v>
      </c>
      <c r="C266" t="str">
        <f>T("BUREAU OF LAND MANAGEMENT")</f>
        <v>BUREAU OF LAND MANAGEMENT</v>
      </c>
      <c r="D266" t="str">
        <f>T("300 S. RICHMOND ROAD")</f>
        <v>300 S. RICHMOND ROAD</v>
      </c>
      <c r="E266" t="s">
        <v>0</v>
      </c>
      <c r="F266" t="s">
        <v>0</v>
      </c>
      <c r="G266" t="str">
        <f>T("RIDGECREST")</f>
        <v>RIDGECREST</v>
      </c>
      <c r="H266" t="str">
        <f aca="true" t="shared" si="57" ref="H266:H281">T("CA ")</f>
        <v>CA </v>
      </c>
      <c r="I266" s="1">
        <f>N(93555)</f>
        <v>93555</v>
      </c>
      <c r="J266" s="1">
        <f>N(7603845400)</f>
        <v>7603845400</v>
      </c>
      <c r="K266" s="1">
        <f>N(7603845499)</f>
        <v>7603845499</v>
      </c>
    </row>
    <row r="267" spans="1:11" ht="12.75">
      <c r="A267" s="1" t="s">
        <v>11</v>
      </c>
      <c r="B267" t="str">
        <f>T("CA660 PALM SPGS-S CST FLD OFFC")</f>
        <v>CA660 PALM SPGS-S CST FLD OFFC</v>
      </c>
      <c r="C267" t="str">
        <f>T("690 WEST GARNET")</f>
        <v>690 WEST GARNET</v>
      </c>
      <c r="D267" t="s">
        <v>0</v>
      </c>
      <c r="E267" t="s">
        <v>0</v>
      </c>
      <c r="F267" t="s">
        <v>0</v>
      </c>
      <c r="G267" t="str">
        <f>T("N.PALM SPRINGS")</f>
        <v>N.PALM SPRINGS</v>
      </c>
      <c r="H267" t="str">
        <f t="shared" si="57"/>
        <v>CA </v>
      </c>
      <c r="I267" s="1">
        <f>N(92258)</f>
        <v>92258</v>
      </c>
      <c r="J267" s="1">
        <f>N(7602514800)</f>
        <v>7602514800</v>
      </c>
      <c r="K267" s="1">
        <f>N(7602514899)</f>
        <v>7602514899</v>
      </c>
    </row>
    <row r="268" spans="1:11" ht="12.75">
      <c r="A268" s="1" t="s">
        <v>11</v>
      </c>
      <c r="B268" t="str">
        <f>T("CA670 EL CENTRO FIELD OFC")</f>
        <v>CA670 EL CENTRO FIELD OFC</v>
      </c>
      <c r="C268" t="str">
        <f aca="true" t="shared" si="58" ref="C268:C281">T("BUREAU OF LAND MANAGEMENT")</f>
        <v>BUREAU OF LAND MANAGEMENT</v>
      </c>
      <c r="D268" t="str">
        <f>T("1661 S. 4TH ST.")</f>
        <v>1661 S. 4TH ST.</v>
      </c>
      <c r="E268" t="s">
        <v>0</v>
      </c>
      <c r="F268" t="s">
        <v>0</v>
      </c>
      <c r="G268" t="str">
        <f>T("EL CENTRO")</f>
        <v>EL CENTRO</v>
      </c>
      <c r="H268" t="str">
        <f t="shared" si="57"/>
        <v>CA </v>
      </c>
      <c r="I268" s="1">
        <f>N(92243)</f>
        <v>92243</v>
      </c>
      <c r="J268" s="1">
        <f>N(7603374400)</f>
        <v>7603374400</v>
      </c>
      <c r="K268" s="1">
        <f>N(7603374490)</f>
        <v>7603374490</v>
      </c>
    </row>
    <row r="269" spans="1:11" ht="12.75">
      <c r="A269" s="1" t="s">
        <v>11</v>
      </c>
      <c r="B269" t="str">
        <f>T("CA680 BARSTOW FIELD OFC")</f>
        <v>CA680 BARSTOW FIELD OFC</v>
      </c>
      <c r="C269" t="str">
        <f t="shared" si="58"/>
        <v>BUREAU OF LAND MANAGEMENT</v>
      </c>
      <c r="D269" t="str">
        <f>T("2601 BARSTOW ROAD")</f>
        <v>2601 BARSTOW ROAD</v>
      </c>
      <c r="E269" t="s">
        <v>0</v>
      </c>
      <c r="F269" t="s">
        <v>0</v>
      </c>
      <c r="G269" t="str">
        <f>T("BARSTOW")</f>
        <v>BARSTOW</v>
      </c>
      <c r="H269" t="str">
        <f t="shared" si="57"/>
        <v>CA </v>
      </c>
      <c r="I269" s="1">
        <f>N(92311)</f>
        <v>92311</v>
      </c>
      <c r="J269" s="1">
        <f>N(7602526000)</f>
        <v>7602526000</v>
      </c>
      <c r="K269" s="1">
        <f>N(7602526099)</f>
        <v>7602526099</v>
      </c>
    </row>
    <row r="270" spans="1:11" ht="12.75">
      <c r="A270" s="1" t="s">
        <v>11</v>
      </c>
      <c r="B270" t="str">
        <f>T("CA690 NEEDLES FIELD OFC")</f>
        <v>CA690 NEEDLES FIELD OFC</v>
      </c>
      <c r="C270" t="str">
        <f t="shared" si="58"/>
        <v>BUREAU OF LAND MANAGEMENT</v>
      </c>
      <c r="D270" t="str">
        <f>T("101 W. SPIKES ROAD")</f>
        <v>101 W. SPIKES ROAD</v>
      </c>
      <c r="E270" t="s">
        <v>0</v>
      </c>
      <c r="F270" t="s">
        <v>0</v>
      </c>
      <c r="G270" t="str">
        <f>T("NEEDLES")</f>
        <v>NEEDLES</v>
      </c>
      <c r="H270" t="str">
        <f t="shared" si="57"/>
        <v>CA </v>
      </c>
      <c r="I270" s="1">
        <f>N(92363)</f>
        <v>92363</v>
      </c>
      <c r="J270" s="1">
        <f>N(7603267000)</f>
        <v>7603267000</v>
      </c>
      <c r="K270" s="1">
        <f>N(7603267099)</f>
        <v>7603267099</v>
      </c>
    </row>
    <row r="271" spans="1:11" ht="12.75">
      <c r="A271" s="1" t="s">
        <v>11</v>
      </c>
      <c r="B271" t="str">
        <f>T("CA160 BAKERSFIELD FIELD OFC")</f>
        <v>CA160 BAKERSFIELD FIELD OFC</v>
      </c>
      <c r="C271" t="str">
        <f t="shared" si="58"/>
        <v>BUREAU OF LAND MANAGEMENT</v>
      </c>
      <c r="D271" t="str">
        <f>T("3801 PEGASUS DRIVE")</f>
        <v>3801 PEGASUS DRIVE</v>
      </c>
      <c r="E271" t="s">
        <v>0</v>
      </c>
      <c r="F271" t="s">
        <v>0</v>
      </c>
      <c r="G271" t="str">
        <f>T("BAKERSFIELD")</f>
        <v>BAKERSFIELD</v>
      </c>
      <c r="H271" t="str">
        <f t="shared" si="57"/>
        <v>CA </v>
      </c>
      <c r="I271" s="1">
        <f>N(93308)</f>
        <v>93308</v>
      </c>
      <c r="J271" s="1">
        <f>N(6613916000)</f>
        <v>6613916000</v>
      </c>
      <c r="K271" s="1">
        <f>N(6613916040)</f>
        <v>6613916040</v>
      </c>
    </row>
    <row r="272" spans="1:11" ht="12.75">
      <c r="A272" s="1" t="s">
        <v>11</v>
      </c>
      <c r="B272" t="str">
        <f>T("CA170 BISHOP FIELD OFC")</f>
        <v>CA170 BISHOP FIELD OFC</v>
      </c>
      <c r="C272" t="str">
        <f t="shared" si="58"/>
        <v>BUREAU OF LAND MANAGEMENT</v>
      </c>
      <c r="D272" t="str">
        <f>T("785 NORTH MAIN ST.  STE E")</f>
        <v>785 NORTH MAIN ST.  STE E</v>
      </c>
      <c r="E272" t="s">
        <v>0</v>
      </c>
      <c r="F272" t="s">
        <v>0</v>
      </c>
      <c r="G272" t="str">
        <f>T("BISHOP")</f>
        <v>BISHOP</v>
      </c>
      <c r="H272" t="str">
        <f t="shared" si="57"/>
        <v>CA </v>
      </c>
      <c r="I272" s="1">
        <f>N(93514)</f>
        <v>93514</v>
      </c>
      <c r="J272" s="1">
        <f>N(7608724881)</f>
        <v>7608724881</v>
      </c>
      <c r="K272" s="1">
        <f>N(7608722894)</f>
        <v>7608722894</v>
      </c>
    </row>
    <row r="273" spans="1:11" ht="12.75">
      <c r="A273" s="1" t="s">
        <v>11</v>
      </c>
      <c r="B273" t="str">
        <f>T("CA180 FOLSOM FIELD OFC")</f>
        <v>CA180 FOLSOM FIELD OFC</v>
      </c>
      <c r="C273" t="str">
        <f t="shared" si="58"/>
        <v>BUREAU OF LAND MANAGEMENT</v>
      </c>
      <c r="D273" t="str">
        <f>T("63 NATOMA STREET")</f>
        <v>63 NATOMA STREET</v>
      </c>
      <c r="E273" t="s">
        <v>0</v>
      </c>
      <c r="F273" t="s">
        <v>0</v>
      </c>
      <c r="G273" t="str">
        <f>T("FOLSOM")</f>
        <v>FOLSOM</v>
      </c>
      <c r="H273" t="str">
        <f t="shared" si="57"/>
        <v>CA </v>
      </c>
      <c r="I273" s="1">
        <f>N(95630)</f>
        <v>95630</v>
      </c>
      <c r="J273" s="1">
        <f>N(9169854474)</f>
        <v>9169854474</v>
      </c>
      <c r="K273" s="1">
        <f>N(9169853259)</f>
        <v>9169853259</v>
      </c>
    </row>
    <row r="274" spans="1:11" ht="12.75">
      <c r="A274" s="1" t="s">
        <v>11</v>
      </c>
      <c r="B274" t="str">
        <f>T("CA190 HOLLISTER FIELD OFC")</f>
        <v>CA190 HOLLISTER FIELD OFC</v>
      </c>
      <c r="C274" t="str">
        <f t="shared" si="58"/>
        <v>BUREAU OF LAND MANAGEMENT</v>
      </c>
      <c r="D274" t="str">
        <f>T("20 HAMILTON COURT")</f>
        <v>20 HAMILTON COURT</v>
      </c>
      <c r="E274" t="s">
        <v>0</v>
      </c>
      <c r="F274" t="s">
        <v>0</v>
      </c>
      <c r="G274" t="str">
        <f>T("HOLLISTER")</f>
        <v>HOLLISTER</v>
      </c>
      <c r="H274" t="str">
        <f t="shared" si="57"/>
        <v>CA </v>
      </c>
      <c r="I274" s="1">
        <f>N(95023)</f>
        <v>95023</v>
      </c>
      <c r="J274" s="1">
        <f>N(8316305000)</f>
        <v>8316305000</v>
      </c>
      <c r="K274" s="1">
        <f>N(8316305055)</f>
        <v>8316305055</v>
      </c>
    </row>
    <row r="275" spans="1:11" ht="12.75">
      <c r="A275" s="1" t="s">
        <v>11</v>
      </c>
      <c r="B275" t="str">
        <f>T("CA310 NORTHERN CA SUPPORT TEAM")</f>
        <v>CA310 NORTHERN CA SUPPORT TEAM</v>
      </c>
      <c r="C275" t="str">
        <f t="shared" si="58"/>
        <v>BUREAU OF LAND MANAGEMENT</v>
      </c>
      <c r="D275" t="str">
        <f>T("2950 RIVERSIDE DRIVE")</f>
        <v>2950 RIVERSIDE DRIVE</v>
      </c>
      <c r="E275" t="s">
        <v>0</v>
      </c>
      <c r="F275" t="s">
        <v>0</v>
      </c>
      <c r="G275" t="str">
        <f>T("SUSANVILLE")</f>
        <v>SUSANVILLE</v>
      </c>
      <c r="H275" t="str">
        <f t="shared" si="57"/>
        <v>CA </v>
      </c>
      <c r="I275" s="1">
        <f>N(96130)</f>
        <v>96130</v>
      </c>
      <c r="J275" s="1">
        <f>N(5302570456)</f>
        <v>5302570456</v>
      </c>
      <c r="K275" s="1">
        <f>N(5302574831)</f>
        <v>5302574831</v>
      </c>
    </row>
    <row r="276" spans="1:11" ht="12.75">
      <c r="A276" s="1" t="s">
        <v>11</v>
      </c>
      <c r="B276" t="str">
        <f>T("CA320 ALTURAS FIELD OFC")</f>
        <v>CA320 ALTURAS FIELD OFC</v>
      </c>
      <c r="C276" t="str">
        <f t="shared" si="58"/>
        <v>BUREAU OF LAND MANAGEMENT</v>
      </c>
      <c r="D276" t="str">
        <f>T("708 WEST 12TH STREET")</f>
        <v>708 WEST 12TH STREET</v>
      </c>
      <c r="E276" t="s">
        <v>0</v>
      </c>
      <c r="F276" t="s">
        <v>0</v>
      </c>
      <c r="G276" t="str">
        <f>T("ALTURAS")</f>
        <v>ALTURAS</v>
      </c>
      <c r="H276" t="str">
        <f t="shared" si="57"/>
        <v>CA </v>
      </c>
      <c r="I276" s="1">
        <f>N(96101)</f>
        <v>96101</v>
      </c>
      <c r="J276" s="1">
        <f>N(5302334666)</f>
        <v>5302334666</v>
      </c>
      <c r="K276" s="1">
        <f>N(5302335696)</f>
        <v>5302335696</v>
      </c>
    </row>
    <row r="277" spans="1:11" ht="12.75">
      <c r="A277" s="1" t="s">
        <v>11</v>
      </c>
      <c r="B277" t="str">
        <f>T("CA330 ARCATA FIELD OFC")</f>
        <v>CA330 ARCATA FIELD OFC</v>
      </c>
      <c r="C277" t="str">
        <f t="shared" si="58"/>
        <v>BUREAU OF LAND MANAGEMENT</v>
      </c>
      <c r="D277" t="str">
        <f>T("1695 HEINDON ROAD")</f>
        <v>1695 HEINDON ROAD</v>
      </c>
      <c r="E277" t="s">
        <v>0</v>
      </c>
      <c r="F277" t="s">
        <v>0</v>
      </c>
      <c r="G277" t="str">
        <f>T("ARCATA")</f>
        <v>ARCATA</v>
      </c>
      <c r="H277" t="str">
        <f t="shared" si="57"/>
        <v>CA </v>
      </c>
      <c r="I277" s="1">
        <f>N(95521)</f>
        <v>95521</v>
      </c>
      <c r="J277" s="1">
        <f>N(7078252300)</f>
        <v>7078252300</v>
      </c>
      <c r="K277" s="1">
        <f>N(7078252301)</f>
        <v>7078252301</v>
      </c>
    </row>
    <row r="278" spans="1:11" ht="12.75">
      <c r="A278" s="1" t="s">
        <v>11</v>
      </c>
      <c r="B278" t="str">
        <f>T("CA340 UKIAH FIELD OFFICE")</f>
        <v>CA340 UKIAH FIELD OFFICE</v>
      </c>
      <c r="C278" t="str">
        <f t="shared" si="58"/>
        <v>BUREAU OF LAND MANAGEMENT</v>
      </c>
      <c r="D278" t="str">
        <f>T("2550 NORTH STATE STREET")</f>
        <v>2550 NORTH STATE STREET</v>
      </c>
      <c r="E278" t="s">
        <v>0</v>
      </c>
      <c r="F278" t="s">
        <v>0</v>
      </c>
      <c r="G278" t="str">
        <f>T("UKIAH")</f>
        <v>UKIAH</v>
      </c>
      <c r="H278" t="str">
        <f t="shared" si="57"/>
        <v>CA </v>
      </c>
      <c r="I278" s="1">
        <f>N(95482)</f>
        <v>95482</v>
      </c>
      <c r="J278" s="1">
        <f>N(7074684000)</f>
        <v>7074684000</v>
      </c>
      <c r="K278" s="1">
        <f>N(7074684027)</f>
        <v>7074684027</v>
      </c>
    </row>
    <row r="279" spans="1:11" ht="12.75">
      <c r="A279" s="1" t="s">
        <v>11</v>
      </c>
      <c r="B279" t="str">
        <f>T("CA350 EAGLE LAKE FIELD OFC")</f>
        <v>CA350 EAGLE LAKE FIELD OFC</v>
      </c>
      <c r="C279" t="str">
        <f t="shared" si="58"/>
        <v>BUREAU OF LAND MANAGEMENT</v>
      </c>
      <c r="D279" t="str">
        <f>T("2950 RIVERSIDE DRIVE")</f>
        <v>2950 RIVERSIDE DRIVE</v>
      </c>
      <c r="E279" t="s">
        <v>0</v>
      </c>
      <c r="F279" t="s">
        <v>0</v>
      </c>
      <c r="G279" t="str">
        <f>T("SUSANVILLE")</f>
        <v>SUSANVILLE</v>
      </c>
      <c r="H279" t="str">
        <f t="shared" si="57"/>
        <v>CA </v>
      </c>
      <c r="I279" s="1">
        <f>N(96130)</f>
        <v>96130</v>
      </c>
      <c r="J279" s="1">
        <f>N(5302570456)</f>
        <v>5302570456</v>
      </c>
      <c r="K279" s="1">
        <f>N(5302574831)</f>
        <v>5302574831</v>
      </c>
    </row>
    <row r="280" spans="1:11" ht="12.75">
      <c r="A280" s="1" t="s">
        <v>11</v>
      </c>
      <c r="B280" t="str">
        <f>T("CA360 REDDING FIELD OFC")</f>
        <v>CA360 REDDING FIELD OFC</v>
      </c>
      <c r="C280" t="str">
        <f t="shared" si="58"/>
        <v>BUREAU OF LAND MANAGEMENT</v>
      </c>
      <c r="D280" t="str">
        <f>T("355 HEMSTED DRIVE")</f>
        <v>355 HEMSTED DRIVE</v>
      </c>
      <c r="E280" t="s">
        <v>0</v>
      </c>
      <c r="F280" t="s">
        <v>0</v>
      </c>
      <c r="G280" t="str">
        <f>T("REDDING")</f>
        <v>REDDING</v>
      </c>
      <c r="H280" t="str">
        <f t="shared" si="57"/>
        <v>CA </v>
      </c>
      <c r="I280" s="1">
        <f>N(96002)</f>
        <v>96002</v>
      </c>
      <c r="J280" s="1">
        <f>N(5302242100)</f>
        <v>5302242100</v>
      </c>
      <c r="K280" s="1">
        <f>N(5302242172)</f>
        <v>5302242172</v>
      </c>
    </row>
    <row r="281" spans="1:11" ht="12.75">
      <c r="A281" s="1" t="s">
        <v>11</v>
      </c>
      <c r="B281" t="str">
        <f>T("CA370 SURPRISE FIELD OFC")</f>
        <v>CA370 SURPRISE FIELD OFC</v>
      </c>
      <c r="C281" t="str">
        <f t="shared" si="58"/>
        <v>BUREAU OF LAND MANAGEMENT</v>
      </c>
      <c r="D281" t="str">
        <f>T("P O BOX 460")</f>
        <v>P O BOX 460</v>
      </c>
      <c r="E281" t="s">
        <v>0</v>
      </c>
      <c r="F281" t="s">
        <v>0</v>
      </c>
      <c r="G281" t="str">
        <f>T("CEDARVILLE")</f>
        <v>CEDARVILLE</v>
      </c>
      <c r="H281" t="str">
        <f t="shared" si="57"/>
        <v>CA </v>
      </c>
      <c r="I281" s="1">
        <f>N(96104)</f>
        <v>96104</v>
      </c>
      <c r="J281" s="1">
        <f>N(5302796101)</f>
        <v>5302796101</v>
      </c>
      <c r="K281" s="1">
        <f>N(5302792171)</f>
        <v>5302792171</v>
      </c>
    </row>
    <row r="282" spans="1:11" ht="12.75">
      <c r="A282" s="1" t="s">
        <v>11</v>
      </c>
      <c r="B282" t="str">
        <f>T("CO100 LITTLE SNAKE FIELD OFC")</f>
        <v>CO100 LITTLE SNAKE FIELD OFC</v>
      </c>
      <c r="C282" t="str">
        <f>T("455 EMERSON STREET")</f>
        <v>455 EMERSON STREET</v>
      </c>
      <c r="D282" t="str">
        <f>T("ATTN: AMBER BAKER")</f>
        <v>ATTN: AMBER BAKER</v>
      </c>
      <c r="E282" t="s">
        <v>0</v>
      </c>
      <c r="F282" t="s">
        <v>0</v>
      </c>
      <c r="G282" t="str">
        <f>T("CRAIG")</f>
        <v>CRAIG</v>
      </c>
      <c r="H282" t="str">
        <f aca="true" t="shared" si="59" ref="H282:H289">T("CO ")</f>
        <v>CO </v>
      </c>
      <c r="I282" s="1">
        <f>N(81625)</f>
        <v>81625</v>
      </c>
      <c r="J282" s="1">
        <f>N(9708265000)</f>
        <v>9708265000</v>
      </c>
      <c r="K282" s="1">
        <f>N(9708265002)</f>
        <v>9708265002</v>
      </c>
    </row>
    <row r="283" spans="1:11" ht="12.75">
      <c r="A283" s="1" t="s">
        <v>11</v>
      </c>
      <c r="B283" t="str">
        <f>T("CO110 WHITE RIVER FIELD OFC")</f>
        <v>CO110 WHITE RIVER FIELD OFC</v>
      </c>
      <c r="C283" t="str">
        <f>T("73544 HWY 64")</f>
        <v>73544 HWY 64</v>
      </c>
      <c r="D283" t="str">
        <f>T("ATTN: AMBER BAKER")</f>
        <v>ATTN: AMBER BAKER</v>
      </c>
      <c r="E283" t="s">
        <v>0</v>
      </c>
      <c r="F283" t="s">
        <v>0</v>
      </c>
      <c r="G283" t="str">
        <f>T("MEEKER")</f>
        <v>MEEKER</v>
      </c>
      <c r="H283" t="str">
        <f t="shared" si="59"/>
        <v>CO </v>
      </c>
      <c r="I283" s="1">
        <f>N(81641)</f>
        <v>81641</v>
      </c>
      <c r="J283" s="1">
        <f>N(9708783601)</f>
        <v>9708783601</v>
      </c>
      <c r="K283" s="1">
        <f>N(9708785717)</f>
        <v>9708785717</v>
      </c>
    </row>
    <row r="284" spans="1:11" ht="12.75">
      <c r="A284" s="1" t="s">
        <v>11</v>
      </c>
      <c r="B284" t="str">
        <f>T("CO120 KREMMLING FIELD OFC")</f>
        <v>CO120 KREMMLING FIELD OFC</v>
      </c>
      <c r="C284" t="str">
        <f>T("1116 PARK AVENUE")</f>
        <v>1116 PARK AVENUE</v>
      </c>
      <c r="D284" t="str">
        <f>T("P. O. BOX 68")</f>
        <v>P. O. BOX 68</v>
      </c>
      <c r="E284" t="str">
        <f>T("ATTN: AMBER BAKER")</f>
        <v>ATTN: AMBER BAKER</v>
      </c>
      <c r="F284" t="s">
        <v>0</v>
      </c>
      <c r="G284" t="str">
        <f>T("KREMMLING")</f>
        <v>KREMMLING</v>
      </c>
      <c r="H284" t="str">
        <f t="shared" si="59"/>
        <v>CO </v>
      </c>
      <c r="I284" s="1">
        <f>N(80459)</f>
        <v>80459</v>
      </c>
      <c r="J284" s="1">
        <f>N(9707243437)</f>
        <v>9707243437</v>
      </c>
      <c r="K284" s="1">
        <f>N(9707249590)</f>
        <v>9707249590</v>
      </c>
    </row>
    <row r="285" spans="1:11" ht="12.75">
      <c r="A285" s="1" t="s">
        <v>11</v>
      </c>
      <c r="B285" t="str">
        <f>T("CO150 UNCOMPAHGRE FIELD OFC")</f>
        <v>CO150 UNCOMPAHGRE FIELD OFC</v>
      </c>
      <c r="C285" t="str">
        <f>T("2505 SOUTH TOWNSEND")</f>
        <v>2505 SOUTH TOWNSEND</v>
      </c>
      <c r="D285" t="str">
        <f>T("ATTN: KAREN JETLEY")</f>
        <v>ATTN: KAREN JETLEY</v>
      </c>
      <c r="E285" t="s">
        <v>0</v>
      </c>
      <c r="F285" t="s">
        <v>0</v>
      </c>
      <c r="G285" t="str">
        <f>T("MONTROSE")</f>
        <v>MONTROSE</v>
      </c>
      <c r="H285" t="str">
        <f t="shared" si="59"/>
        <v>CO </v>
      </c>
      <c r="I285" s="1">
        <f>N(81401)</f>
        <v>81401</v>
      </c>
      <c r="J285" s="1">
        <f>N(9702405300)</f>
        <v>9702405300</v>
      </c>
      <c r="K285" s="1">
        <f>N(9702405367)</f>
        <v>9702405367</v>
      </c>
    </row>
    <row r="286" spans="1:11" ht="12.75">
      <c r="A286" s="1" t="s">
        <v>11</v>
      </c>
      <c r="B286" t="str">
        <f>T("CO160 GUNNISON FIELD OFC")</f>
        <v>CO160 GUNNISON FIELD OFC</v>
      </c>
      <c r="C286" t="str">
        <f>T("216 NORTH COLORADO")</f>
        <v>216 NORTH COLORADO</v>
      </c>
      <c r="D286" t="str">
        <f>T("ATTN: KAREN JETLEY")</f>
        <v>ATTN: KAREN JETLEY</v>
      </c>
      <c r="E286" t="s">
        <v>0</v>
      </c>
      <c r="F286" t="s">
        <v>0</v>
      </c>
      <c r="G286" t="str">
        <f>T("GUNNISON")</f>
        <v>GUNNISON</v>
      </c>
      <c r="H286" t="str">
        <f t="shared" si="59"/>
        <v>CO </v>
      </c>
      <c r="I286" s="1">
        <f>N(81230)</f>
        <v>81230</v>
      </c>
      <c r="J286" s="1">
        <f>N(9706410471)</f>
        <v>9706410471</v>
      </c>
      <c r="K286" s="1">
        <f>N(9706411928)</f>
        <v>9706411928</v>
      </c>
    </row>
    <row r="287" spans="1:11" ht="12.75">
      <c r="A287" s="1" t="s">
        <v>11</v>
      </c>
      <c r="B287" t="str">
        <f>T("CO530 DEL NORTE FIELD OFFICE")</f>
        <v>CO530 DEL NORTE FIELD OFFICE</v>
      </c>
      <c r="C287" t="str">
        <f>T("3170 EAST MAIN ST.")</f>
        <v>3170 EAST MAIN ST.</v>
      </c>
      <c r="D287" t="str">
        <f>T("ATTN: BARBARA CREECH")</f>
        <v>ATTN: BARBARA CREECH</v>
      </c>
      <c r="E287" t="s">
        <v>0</v>
      </c>
      <c r="F287" t="s">
        <v>0</v>
      </c>
      <c r="G287" t="str">
        <f>T("CANON CITY")</f>
        <v>CANON CITY</v>
      </c>
      <c r="H287" t="str">
        <f t="shared" si="59"/>
        <v>CO </v>
      </c>
      <c r="I287" s="1">
        <f>N(81212)</f>
        <v>81212</v>
      </c>
      <c r="J287" s="1">
        <f>N(7192698500)</f>
        <v>7192698500</v>
      </c>
      <c r="K287" s="1">
        <f>N(7192698599)</f>
        <v>7192698599</v>
      </c>
    </row>
    <row r="288" spans="1:11" ht="12.75">
      <c r="A288" s="1" t="s">
        <v>11</v>
      </c>
      <c r="B288" t="str">
        <f>T("CO130 GRAND JUNCTION FIELD OFC")</f>
        <v>CO130 GRAND JUNCTION FIELD OFC</v>
      </c>
      <c r="C288" t="str">
        <f>T("2815 H ROAD")</f>
        <v>2815 H ROAD</v>
      </c>
      <c r="D288" t="str">
        <f>T("ATTN: AMBER BAKER")</f>
        <v>ATTN: AMBER BAKER</v>
      </c>
      <c r="E288" t="s">
        <v>0</v>
      </c>
      <c r="F288" t="s">
        <v>0</v>
      </c>
      <c r="G288" t="str">
        <f>T("GRAND JUNCTION")</f>
        <v>GRAND JUNCTION</v>
      </c>
      <c r="H288" t="str">
        <f t="shared" si="59"/>
        <v>CO </v>
      </c>
      <c r="I288" s="1">
        <f>N(81506)</f>
        <v>81506</v>
      </c>
      <c r="J288" s="1">
        <f>N(9702443000)</f>
        <v>9702443000</v>
      </c>
      <c r="K288" s="1">
        <f>N(9702443083)</f>
        <v>9702443083</v>
      </c>
    </row>
    <row r="289" spans="1:11" ht="12.75">
      <c r="A289" s="1" t="s">
        <v>11</v>
      </c>
      <c r="B289" t="str">
        <f>T("CO140 GLENWOOD SPRGS FIELD OFC")</f>
        <v>CO140 GLENWOOD SPRGS FIELD OFC</v>
      </c>
      <c r="C289" t="str">
        <f>T("50629 HIGHWAY 6 &amp; 24")</f>
        <v>50629 HIGHWAY 6 &amp; 24</v>
      </c>
      <c r="D289" t="str">
        <f>T("ATTN: AMBER BAKER")</f>
        <v>ATTN: AMBER BAKER</v>
      </c>
      <c r="E289" t="s">
        <v>0</v>
      </c>
      <c r="F289" t="s">
        <v>0</v>
      </c>
      <c r="G289" t="str">
        <f>T("GLENWOOD SPRGS")</f>
        <v>GLENWOOD SPRGS</v>
      </c>
      <c r="H289" t="str">
        <f t="shared" si="59"/>
        <v>CO </v>
      </c>
      <c r="I289" s="1">
        <f>N(81602)</f>
        <v>81602</v>
      </c>
      <c r="J289" s="1">
        <f>N(9709472800)</f>
        <v>9709472800</v>
      </c>
      <c r="K289" s="1">
        <f>N(9709472829)</f>
        <v>9709472829</v>
      </c>
    </row>
    <row r="290" spans="1:11" ht="12.75">
      <c r="A290" s="1" t="s">
        <v>11</v>
      </c>
      <c r="B290" t="str">
        <f>T("FC210 NAT SYSTEMS SUPPORT GRP")</f>
        <v>FC210 NAT SYSTEMS SUPPORT GRP</v>
      </c>
      <c r="C290" t="str">
        <f aca="true" t="shared" si="60" ref="C290:C297">T("3833 S DEVELOPMENT AVE")</f>
        <v>3833 S DEVELOPMENT AVE</v>
      </c>
      <c r="D290" t="str">
        <f aca="true" t="shared" si="61" ref="D290:D297">T("ATTN: PROCUREMENT OFFICE")</f>
        <v>ATTN: PROCUREMENT OFFICE</v>
      </c>
      <c r="E290" t="s">
        <v>0</v>
      </c>
      <c r="F290" t="s">
        <v>0</v>
      </c>
      <c r="G290" t="str">
        <f aca="true" t="shared" si="62" ref="G290:G297">T("BOISE")</f>
        <v>BOISE</v>
      </c>
      <c r="H290" t="str">
        <f aca="true" t="shared" si="63" ref="H290:H297">T("ID ")</f>
        <v>ID </v>
      </c>
      <c r="I290" s="1">
        <f aca="true" t="shared" si="64" ref="I290:I297">N(837055354)</f>
        <v>837055354</v>
      </c>
      <c r="J290" s="1">
        <f aca="true" t="shared" si="65" ref="J290:J297">N(2083875509)</f>
        <v>2083875509</v>
      </c>
      <c r="K290" s="1">
        <f aca="true" t="shared" si="66" ref="K290:K297">N(2083875574)</f>
        <v>2083875574</v>
      </c>
    </row>
    <row r="291" spans="1:11" ht="12.75">
      <c r="A291" s="1" t="s">
        <v>11</v>
      </c>
      <c r="B291" t="str">
        <f>T("FC220 BUSINESS PRACTICES GRP")</f>
        <v>FC220 BUSINESS PRACTICES GRP</v>
      </c>
      <c r="C291" t="str">
        <f t="shared" si="60"/>
        <v>3833 S DEVELOPMENT AVE</v>
      </c>
      <c r="D291" t="str">
        <f t="shared" si="61"/>
        <v>ATTN: PROCUREMENT OFFICE</v>
      </c>
      <c r="E291" t="s">
        <v>0</v>
      </c>
      <c r="F291" t="s">
        <v>0</v>
      </c>
      <c r="G291" t="str">
        <f t="shared" si="62"/>
        <v>BOISE</v>
      </c>
      <c r="H291" t="str">
        <f t="shared" si="63"/>
        <v>ID </v>
      </c>
      <c r="I291" s="1">
        <f t="shared" si="64"/>
        <v>837055354</v>
      </c>
      <c r="J291" s="1">
        <f t="shared" si="65"/>
        <v>2083875509</v>
      </c>
      <c r="K291" s="1">
        <f t="shared" si="66"/>
        <v>2083875574</v>
      </c>
    </row>
    <row r="292" spans="1:11" ht="12.75">
      <c r="A292" s="1" t="s">
        <v>11</v>
      </c>
      <c r="B292" t="str">
        <f>T("FC230 NAT F&amp;A TRAING SUPT GRP")</f>
        <v>FC230 NAT F&amp;A TRAING SUPT GRP</v>
      </c>
      <c r="C292" t="str">
        <f t="shared" si="60"/>
        <v>3833 S DEVELOPMENT AVE</v>
      </c>
      <c r="D292" t="str">
        <f t="shared" si="61"/>
        <v>ATTN: PROCUREMENT OFFICE</v>
      </c>
      <c r="E292" t="s">
        <v>0</v>
      </c>
      <c r="F292" t="s">
        <v>0</v>
      </c>
      <c r="G292" t="str">
        <f t="shared" si="62"/>
        <v>BOISE</v>
      </c>
      <c r="H292" t="str">
        <f t="shared" si="63"/>
        <v>ID </v>
      </c>
      <c r="I292" s="1">
        <f t="shared" si="64"/>
        <v>837055354</v>
      </c>
      <c r="J292" s="1">
        <f t="shared" si="65"/>
        <v>2083875509</v>
      </c>
      <c r="K292" s="1">
        <f t="shared" si="66"/>
        <v>2083875574</v>
      </c>
    </row>
    <row r="293" spans="1:11" ht="12.75">
      <c r="A293" s="1" t="s">
        <v>11</v>
      </c>
      <c r="B293" t="str">
        <f>T("FC240 GREAT BASIN SUPPORT GRP")</f>
        <v>FC240 GREAT BASIN SUPPORT GRP</v>
      </c>
      <c r="C293" t="str">
        <f t="shared" si="60"/>
        <v>3833 S DEVELOPMENT AVE</v>
      </c>
      <c r="D293" t="str">
        <f t="shared" si="61"/>
        <v>ATTN: PROCUREMENT OFFICE</v>
      </c>
      <c r="E293" t="s">
        <v>0</v>
      </c>
      <c r="F293" t="s">
        <v>0</v>
      </c>
      <c r="G293" t="str">
        <f t="shared" si="62"/>
        <v>BOISE</v>
      </c>
      <c r="H293" t="str">
        <f t="shared" si="63"/>
        <v>ID </v>
      </c>
      <c r="I293" s="1">
        <f t="shared" si="64"/>
        <v>837055354</v>
      </c>
      <c r="J293" s="1">
        <f t="shared" si="65"/>
        <v>2083875509</v>
      </c>
      <c r="K293" s="1">
        <f t="shared" si="66"/>
        <v>2083875574</v>
      </c>
    </row>
    <row r="294" spans="1:11" ht="12.75">
      <c r="A294" s="1" t="s">
        <v>11</v>
      </c>
      <c r="B294" t="str">
        <f>T("FC250 SMOKEJUMPER GRP")</f>
        <v>FC250 SMOKEJUMPER GRP</v>
      </c>
      <c r="C294" t="str">
        <f t="shared" si="60"/>
        <v>3833 S DEVELOPMENT AVE</v>
      </c>
      <c r="D294" t="str">
        <f t="shared" si="61"/>
        <v>ATTN: PROCUREMENT OFFICE</v>
      </c>
      <c r="E294" t="s">
        <v>0</v>
      </c>
      <c r="F294" t="s">
        <v>0</v>
      </c>
      <c r="G294" t="str">
        <f t="shared" si="62"/>
        <v>BOISE</v>
      </c>
      <c r="H294" t="str">
        <f t="shared" si="63"/>
        <v>ID </v>
      </c>
      <c r="I294" s="1">
        <f t="shared" si="64"/>
        <v>837055354</v>
      </c>
      <c r="J294" s="1">
        <f t="shared" si="65"/>
        <v>2083875509</v>
      </c>
      <c r="K294" s="1">
        <f t="shared" si="66"/>
        <v>2083875574</v>
      </c>
    </row>
    <row r="295" spans="1:11" ht="12.75">
      <c r="A295" s="1" t="s">
        <v>11</v>
      </c>
      <c r="B295" t="str">
        <f>T("FC260 REMOTE SENSING SUPT GRP")</f>
        <v>FC260 REMOTE SENSING SUPT GRP</v>
      </c>
      <c r="C295" t="str">
        <f t="shared" si="60"/>
        <v>3833 S DEVELOPMENT AVE</v>
      </c>
      <c r="D295" t="str">
        <f t="shared" si="61"/>
        <v>ATTN: PROCUREMENT OFFICE</v>
      </c>
      <c r="E295" t="s">
        <v>0</v>
      </c>
      <c r="F295" t="s">
        <v>0</v>
      </c>
      <c r="G295" t="str">
        <f t="shared" si="62"/>
        <v>BOISE</v>
      </c>
      <c r="H295" t="str">
        <f t="shared" si="63"/>
        <v>ID </v>
      </c>
      <c r="I295" s="1">
        <f t="shared" si="64"/>
        <v>837055354</v>
      </c>
      <c r="J295" s="1">
        <f t="shared" si="65"/>
        <v>2083875509</v>
      </c>
      <c r="K295" s="1">
        <f t="shared" si="66"/>
        <v>2083875574</v>
      </c>
    </row>
    <row r="296" spans="1:11" ht="12.75">
      <c r="A296" s="1" t="s">
        <v>11</v>
      </c>
      <c r="B296" t="str">
        <f>T("FC270 NICC GRP")</f>
        <v>FC270 NICC GRP</v>
      </c>
      <c r="C296" t="str">
        <f t="shared" si="60"/>
        <v>3833 S DEVELOPMENT AVE</v>
      </c>
      <c r="D296" t="str">
        <f t="shared" si="61"/>
        <v>ATTN: PROCUREMENT OFFICE</v>
      </c>
      <c r="E296" t="s">
        <v>0</v>
      </c>
      <c r="F296" t="s">
        <v>0</v>
      </c>
      <c r="G296" t="str">
        <f t="shared" si="62"/>
        <v>BOISE</v>
      </c>
      <c r="H296" t="str">
        <f t="shared" si="63"/>
        <v>ID </v>
      </c>
      <c r="I296" s="1">
        <f t="shared" si="64"/>
        <v>837055354</v>
      </c>
      <c r="J296" s="1">
        <f t="shared" si="65"/>
        <v>2083875509</v>
      </c>
      <c r="K296" s="1">
        <f t="shared" si="66"/>
        <v>2083875574</v>
      </c>
    </row>
    <row r="297" spans="1:11" ht="12.75">
      <c r="A297" s="1" t="s">
        <v>11</v>
      </c>
      <c r="B297" t="str">
        <f>T("FC280 MAINTENANCE GRP")</f>
        <v>FC280 MAINTENANCE GRP</v>
      </c>
      <c r="C297" t="str">
        <f t="shared" si="60"/>
        <v>3833 S DEVELOPMENT AVE</v>
      </c>
      <c r="D297" t="str">
        <f t="shared" si="61"/>
        <v>ATTN: PROCUREMENT OFFICE</v>
      </c>
      <c r="E297" t="s">
        <v>0</v>
      </c>
      <c r="F297" t="s">
        <v>0</v>
      </c>
      <c r="G297" t="str">
        <f t="shared" si="62"/>
        <v>BOISE</v>
      </c>
      <c r="H297" t="str">
        <f t="shared" si="63"/>
        <v>ID </v>
      </c>
      <c r="I297" s="1">
        <f t="shared" si="64"/>
        <v>837055354</v>
      </c>
      <c r="J297" s="1">
        <f t="shared" si="65"/>
        <v>2083875509</v>
      </c>
      <c r="K297" s="1">
        <f t="shared" si="66"/>
        <v>2083875574</v>
      </c>
    </row>
    <row r="298" spans="1:11" ht="12.75">
      <c r="A298" s="1" t="s">
        <v>11</v>
      </c>
      <c r="B298" t="str">
        <f>T("WO150 NATIVE AMERICAN OFC")</f>
        <v>WO150 NATIVE AMERICAN OFC</v>
      </c>
      <c r="C298" t="str">
        <f>T("P. O. BOX 27115")</f>
        <v>P. O. BOX 27115</v>
      </c>
      <c r="D298" t="str">
        <f>T("ATTN: CATHY VELARDE")</f>
        <v>ATTN: CATHY VELARDE</v>
      </c>
      <c r="E298" t="s">
        <v>0</v>
      </c>
      <c r="F298" t="s">
        <v>0</v>
      </c>
      <c r="G298" t="str">
        <f>T("SANTA FE")</f>
        <v>SANTA FE</v>
      </c>
      <c r="H298" t="str">
        <f>T("NM ")</f>
        <v>NM </v>
      </c>
      <c r="I298" s="1">
        <f>N(87502)</f>
        <v>87502</v>
      </c>
      <c r="J298" s="1">
        <f>N(5054387501)</f>
        <v>5054387501</v>
      </c>
      <c r="K298" s="1">
        <f>N(5054387452)</f>
        <v>5054387452</v>
      </c>
    </row>
    <row r="299" spans="1:11" ht="12.75">
      <c r="A299" s="1" t="s">
        <v>11</v>
      </c>
      <c r="B299" t="str">
        <f>T("OR014 KLAMATH FALLS FIELD OFFI")</f>
        <v>OR014 KLAMATH FALLS FIELD OFFI</v>
      </c>
      <c r="C299" t="str">
        <f>T("2795 ANDERSON AVEM BUILDING #25")</f>
        <v>2795 ANDERSON AVEM BUILDING #25</v>
      </c>
      <c r="D299" t="s">
        <v>0</v>
      </c>
      <c r="E299" t="s">
        <v>0</v>
      </c>
      <c r="F299" t="s">
        <v>0</v>
      </c>
      <c r="G299" t="str">
        <f>T("KLAMATH FALLS")</f>
        <v>KLAMATH FALLS</v>
      </c>
      <c r="H299" t="str">
        <f>T("OR ")</f>
        <v>OR </v>
      </c>
      <c r="I299" s="1">
        <f>N(97603)</f>
        <v>97603</v>
      </c>
      <c r="J299" s="1">
        <f>N(5418836916)</f>
        <v>5418836916</v>
      </c>
      <c r="K299" s="1">
        <f>N(5418842097)</f>
        <v>5418842097</v>
      </c>
    </row>
    <row r="300" spans="1:11" ht="12.75">
      <c r="A300" s="1" t="s">
        <v>11</v>
      </c>
      <c r="B300" t="str">
        <f>T("OR035 BAKER FIELD OFC")</f>
        <v>OR035 BAKER FIELD OFC</v>
      </c>
      <c r="C300" t="str">
        <f>T("3165 10TH ST")</f>
        <v>3165 10TH ST</v>
      </c>
      <c r="D300" t="s">
        <v>0</v>
      </c>
      <c r="E300" t="s">
        <v>0</v>
      </c>
      <c r="F300" t="s">
        <v>0</v>
      </c>
      <c r="G300" t="str">
        <f>T("BAKER CITY")</f>
        <v>BAKER CITY</v>
      </c>
      <c r="H300" t="str">
        <f>T("OR ")</f>
        <v>OR </v>
      </c>
      <c r="I300" s="1">
        <f>N(97814)</f>
        <v>97814</v>
      </c>
      <c r="J300" s="1">
        <f>N(5415231256)</f>
        <v>5415231256</v>
      </c>
      <c r="K300" s="1">
        <f>N(5415231965)</f>
        <v>5415231965</v>
      </c>
    </row>
    <row r="301" spans="1:11" ht="12.75">
      <c r="A301" s="1" t="s">
        <v>11</v>
      </c>
      <c r="B301" t="str">
        <f>T("OR134 WENATCHEE FIELD OFC")</f>
        <v>OR134 WENATCHEE FIELD OFC</v>
      </c>
      <c r="C301" t="str">
        <f>T("915 N WALLA WALLA ST")</f>
        <v>915 N WALLA WALLA ST</v>
      </c>
      <c r="D301" t="s">
        <v>0</v>
      </c>
      <c r="E301" t="s">
        <v>0</v>
      </c>
      <c r="F301" t="s">
        <v>0</v>
      </c>
      <c r="G301" t="str">
        <f>T("WENATCHEE")</f>
        <v>WENATCHEE</v>
      </c>
      <c r="H301" t="str">
        <f>T("WA ")</f>
        <v>WA </v>
      </c>
      <c r="I301" s="1">
        <f>N(98801)</f>
        <v>98801</v>
      </c>
      <c r="J301" s="1">
        <f>N(5096652100)</f>
        <v>5096652100</v>
      </c>
      <c r="K301" s="1">
        <f>N(5096652121)</f>
        <v>5096652121</v>
      </c>
    </row>
    <row r="302" spans="1:11" ht="12.75">
      <c r="A302" s="1" t="s">
        <v>11</v>
      </c>
      <c r="B302" t="str">
        <f>T("UT045 DIXIE FIELD OFC")</f>
        <v>UT045 DIXIE FIELD OFC</v>
      </c>
      <c r="C302" t="str">
        <f>T("345 EAST RIVEERSIDE DRIVE")</f>
        <v>345 EAST RIVEERSIDE DRIVE</v>
      </c>
      <c r="D302" t="s">
        <v>0</v>
      </c>
      <c r="E302" t="s">
        <v>0</v>
      </c>
      <c r="F302" t="s">
        <v>0</v>
      </c>
      <c r="G302" t="str">
        <f>T("ST. GEORGE")</f>
        <v>ST. GEORGE</v>
      </c>
      <c r="H302" t="str">
        <f>T("UT ")</f>
        <v>UT </v>
      </c>
      <c r="I302" s="1">
        <f>N(84720)</f>
        <v>84720</v>
      </c>
      <c r="J302" s="1" t="s">
        <v>0</v>
      </c>
      <c r="K302" s="1">
        <f>N(4356883252)</f>
        <v>4356883252</v>
      </c>
    </row>
    <row r="303" spans="1:11" ht="12.75">
      <c r="A303" s="1" t="s">
        <v>11</v>
      </c>
      <c r="B303" t="str">
        <f>T("UT046 KANAB FIELD OFC")</f>
        <v>UT046 KANAB FIELD OFC</v>
      </c>
      <c r="C303" t="str">
        <f>T("318 NORTH FIRST EAST")</f>
        <v>318 NORTH FIRST EAST</v>
      </c>
      <c r="D303" t="s">
        <v>0</v>
      </c>
      <c r="E303" t="s">
        <v>0</v>
      </c>
      <c r="F303" t="s">
        <v>0</v>
      </c>
      <c r="G303" t="str">
        <f>T("KANAB")</f>
        <v>KANAB</v>
      </c>
      <c r="H303" t="str">
        <f>T("UT ")</f>
        <v>UT </v>
      </c>
      <c r="I303" s="1">
        <f>N(84741)</f>
        <v>84741</v>
      </c>
      <c r="J303" s="1" t="s">
        <v>0</v>
      </c>
      <c r="K303" s="1">
        <f>N(4353202694)</f>
        <v>4353202694</v>
      </c>
    </row>
    <row r="304" spans="1:11" ht="12.75">
      <c r="A304" s="1" t="s">
        <v>11</v>
      </c>
      <c r="B304" t="str">
        <f>T("CA650 RIDGECREST FIELD OFC")</f>
        <v>CA650 RIDGECREST FIELD OFC</v>
      </c>
      <c r="C304" t="str">
        <f aca="true" t="shared" si="67" ref="C304:C319">T("BUREAU OF LAND MANAGEMENT")</f>
        <v>BUREAU OF LAND MANAGEMENT</v>
      </c>
      <c r="D304" t="str">
        <f>T("300 S. RICHMOND ROAD")</f>
        <v>300 S. RICHMOND ROAD</v>
      </c>
      <c r="E304" t="s">
        <v>0</v>
      </c>
      <c r="F304" t="s">
        <v>0</v>
      </c>
      <c r="G304" t="str">
        <f>T("RIDGECREST")</f>
        <v>RIDGECREST</v>
      </c>
      <c r="H304" t="str">
        <f aca="true" t="shared" si="68" ref="H304:H319">T("CA ")</f>
        <v>CA </v>
      </c>
      <c r="I304" s="1">
        <f>N(93555)</f>
        <v>93555</v>
      </c>
      <c r="J304" s="1">
        <f>N(7603845400)</f>
        <v>7603845400</v>
      </c>
      <c r="K304" s="1">
        <f>N(7603845499)</f>
        <v>7603845499</v>
      </c>
    </row>
    <row r="305" spans="1:11" ht="12.75">
      <c r="A305" s="1" t="s">
        <v>11</v>
      </c>
      <c r="B305" t="str">
        <f>T("CA660 PALM SPGS-S CST FLD OFC")</f>
        <v>CA660 PALM SPGS-S CST FLD OFC</v>
      </c>
      <c r="C305" t="str">
        <f t="shared" si="67"/>
        <v>BUREAU OF LAND MANAGEMENT</v>
      </c>
      <c r="D305" t="str">
        <f>T("P.O. BOX 58 1260")</f>
        <v>P.O. BOX 58 1260</v>
      </c>
      <c r="E305" t="s">
        <v>0</v>
      </c>
      <c r="F305" t="s">
        <v>0</v>
      </c>
      <c r="G305" t="str">
        <f>T("N PALM SPRINGS")</f>
        <v>N PALM SPRINGS</v>
      </c>
      <c r="H305" t="str">
        <f t="shared" si="68"/>
        <v>CA </v>
      </c>
      <c r="I305" s="1">
        <f>N(92258)</f>
        <v>92258</v>
      </c>
      <c r="J305" s="1">
        <f>N(7602514800)</f>
        <v>7602514800</v>
      </c>
      <c r="K305" s="1">
        <f>N(7602514899)</f>
        <v>7602514899</v>
      </c>
    </row>
    <row r="306" spans="1:11" ht="12.75">
      <c r="A306" s="1" t="s">
        <v>11</v>
      </c>
      <c r="B306" t="str">
        <f>T("CA670 EL CENTRO FIELD OFC")</f>
        <v>CA670 EL CENTRO FIELD OFC</v>
      </c>
      <c r="C306" t="str">
        <f t="shared" si="67"/>
        <v>BUREAU OF LAND MANAGEMENT</v>
      </c>
      <c r="D306" t="str">
        <f>T("1661 S. 4TH ST.")</f>
        <v>1661 S. 4TH ST.</v>
      </c>
      <c r="E306" t="s">
        <v>0</v>
      </c>
      <c r="F306" t="s">
        <v>0</v>
      </c>
      <c r="G306" t="str">
        <f>T("EL CENTRO")</f>
        <v>EL CENTRO</v>
      </c>
      <c r="H306" t="str">
        <f t="shared" si="68"/>
        <v>CA </v>
      </c>
      <c r="I306" s="1">
        <f>N(92243)</f>
        <v>92243</v>
      </c>
      <c r="J306" s="1">
        <f>N(7603374400)</f>
        <v>7603374400</v>
      </c>
      <c r="K306" s="1">
        <f>N(7603374490)</f>
        <v>7603374490</v>
      </c>
    </row>
    <row r="307" spans="1:11" ht="12.75">
      <c r="A307" s="1" t="s">
        <v>11</v>
      </c>
      <c r="B307" t="str">
        <f>T("CA680 BARSTOW FIELD OFC")</f>
        <v>CA680 BARSTOW FIELD OFC</v>
      </c>
      <c r="C307" t="str">
        <f t="shared" si="67"/>
        <v>BUREAU OF LAND MANAGEMENT</v>
      </c>
      <c r="D307" t="str">
        <f>T("2601 BARSTOW ROAD")</f>
        <v>2601 BARSTOW ROAD</v>
      </c>
      <c r="E307" t="s">
        <v>0</v>
      </c>
      <c r="F307" t="s">
        <v>0</v>
      </c>
      <c r="G307" t="str">
        <f>T("BARSTOW")</f>
        <v>BARSTOW</v>
      </c>
      <c r="H307" t="str">
        <f t="shared" si="68"/>
        <v>CA </v>
      </c>
      <c r="I307" s="1">
        <f>N(92311)</f>
        <v>92311</v>
      </c>
      <c r="J307" s="1">
        <f>N(7602526000)</f>
        <v>7602526000</v>
      </c>
      <c r="K307" s="1">
        <f>N(7602526098)</f>
        <v>7602526098</v>
      </c>
    </row>
    <row r="308" spans="1:11" ht="12.75">
      <c r="A308" s="1" t="s">
        <v>11</v>
      </c>
      <c r="B308" t="str">
        <f>T("CA690 NEEDLES FIELD OFC")</f>
        <v>CA690 NEEDLES FIELD OFC</v>
      </c>
      <c r="C308" t="str">
        <f t="shared" si="67"/>
        <v>BUREAU OF LAND MANAGEMENT</v>
      </c>
      <c r="D308" t="str">
        <f>T("101 W. SPIKES ROAD")</f>
        <v>101 W. SPIKES ROAD</v>
      </c>
      <c r="E308" t="s">
        <v>0</v>
      </c>
      <c r="F308" t="s">
        <v>0</v>
      </c>
      <c r="G308" t="str">
        <f>T("NEEDLES")</f>
        <v>NEEDLES</v>
      </c>
      <c r="H308" t="str">
        <f t="shared" si="68"/>
        <v>CA </v>
      </c>
      <c r="I308" s="1">
        <f>N(92363)</f>
        <v>92363</v>
      </c>
      <c r="J308" s="1">
        <f>N(7603267000)</f>
        <v>7603267000</v>
      </c>
      <c r="K308" s="1">
        <f>N(7603267099)</f>
        <v>7603267099</v>
      </c>
    </row>
    <row r="309" spans="1:11" ht="12.75">
      <c r="A309" s="1" t="s">
        <v>11</v>
      </c>
      <c r="B309" t="str">
        <f>T("CA160 BAKERSFIELD FIELD OFC")</f>
        <v>CA160 BAKERSFIELD FIELD OFC</v>
      </c>
      <c r="C309" t="str">
        <f t="shared" si="67"/>
        <v>BUREAU OF LAND MANAGEMENT</v>
      </c>
      <c r="D309" t="str">
        <f>T("3801 PEGASUS DRIVE")</f>
        <v>3801 PEGASUS DRIVE</v>
      </c>
      <c r="E309" t="s">
        <v>0</v>
      </c>
      <c r="F309" t="s">
        <v>0</v>
      </c>
      <c r="G309" t="str">
        <f>T("BAKERSFIELD")</f>
        <v>BAKERSFIELD</v>
      </c>
      <c r="H309" t="str">
        <f t="shared" si="68"/>
        <v>CA </v>
      </c>
      <c r="I309" s="1">
        <f>N(93308)</f>
        <v>93308</v>
      </c>
      <c r="J309" s="1">
        <f>N(6613916000)</f>
        <v>6613916000</v>
      </c>
      <c r="K309" s="1">
        <f>N(6613916040)</f>
        <v>6613916040</v>
      </c>
    </row>
    <row r="310" spans="1:11" ht="12.75">
      <c r="A310" s="1" t="s">
        <v>11</v>
      </c>
      <c r="B310" t="str">
        <f>T("CA170 BISHOP FIELD OFC")</f>
        <v>CA170 BISHOP FIELD OFC</v>
      </c>
      <c r="C310" t="str">
        <f t="shared" si="67"/>
        <v>BUREAU OF LAND MANAGEMENT</v>
      </c>
      <c r="D310" t="str">
        <f>T("785 NORTH MAIN ST.  STE E")</f>
        <v>785 NORTH MAIN ST.  STE E</v>
      </c>
      <c r="E310" t="s">
        <v>0</v>
      </c>
      <c r="F310" t="s">
        <v>0</v>
      </c>
      <c r="G310" t="str">
        <f>T("BISHOP")</f>
        <v>BISHOP</v>
      </c>
      <c r="H310" t="str">
        <f t="shared" si="68"/>
        <v>CA </v>
      </c>
      <c r="I310" s="1">
        <f>N(93514)</f>
        <v>93514</v>
      </c>
      <c r="J310" s="1">
        <f>N(7608724881)</f>
        <v>7608724881</v>
      </c>
      <c r="K310" s="1">
        <f>N(7608722894)</f>
        <v>7608722894</v>
      </c>
    </row>
    <row r="311" spans="1:11" ht="12.75">
      <c r="A311" s="1" t="s">
        <v>11</v>
      </c>
      <c r="B311" t="str">
        <f>T("CA180 FOLSOM FIELD OFC")</f>
        <v>CA180 FOLSOM FIELD OFC</v>
      </c>
      <c r="C311" t="str">
        <f t="shared" si="67"/>
        <v>BUREAU OF LAND MANAGEMENT</v>
      </c>
      <c r="D311" t="str">
        <f>T("63 NATOMA STREET")</f>
        <v>63 NATOMA STREET</v>
      </c>
      <c r="E311" t="s">
        <v>0</v>
      </c>
      <c r="F311" t="s">
        <v>0</v>
      </c>
      <c r="G311" t="str">
        <f>T("FOLSOM")</f>
        <v>FOLSOM</v>
      </c>
      <c r="H311" t="str">
        <f t="shared" si="68"/>
        <v>CA </v>
      </c>
      <c r="I311" s="1">
        <f>N(95630)</f>
        <v>95630</v>
      </c>
      <c r="J311" s="1">
        <f>N(9169854474)</f>
        <v>9169854474</v>
      </c>
      <c r="K311" s="1">
        <f>N(9169853259)</f>
        <v>9169853259</v>
      </c>
    </row>
    <row r="312" spans="1:11" ht="12.75">
      <c r="A312" s="1" t="s">
        <v>11</v>
      </c>
      <c r="B312" t="str">
        <f>T("CA190 HOLLISTER FIELD OFC")</f>
        <v>CA190 HOLLISTER FIELD OFC</v>
      </c>
      <c r="C312" t="str">
        <f t="shared" si="67"/>
        <v>BUREAU OF LAND MANAGEMENT</v>
      </c>
      <c r="D312" t="str">
        <f>T("20 HAMILTON COURT")</f>
        <v>20 HAMILTON COURT</v>
      </c>
      <c r="E312" t="s">
        <v>0</v>
      </c>
      <c r="F312" t="s">
        <v>0</v>
      </c>
      <c r="G312" t="str">
        <f>T("HOLLISTER")</f>
        <v>HOLLISTER</v>
      </c>
      <c r="H312" t="str">
        <f t="shared" si="68"/>
        <v>CA </v>
      </c>
      <c r="I312" s="1">
        <f>N(95023)</f>
        <v>95023</v>
      </c>
      <c r="J312" s="1">
        <f>N(8316305000)</f>
        <v>8316305000</v>
      </c>
      <c r="K312" s="1">
        <f>N(8316305055)</f>
        <v>8316305055</v>
      </c>
    </row>
    <row r="313" spans="1:11" ht="12.75">
      <c r="A313" s="1" t="s">
        <v>11</v>
      </c>
      <c r="B313" t="str">
        <f>T("CA310 NORTHERN CA SPT TEAM")</f>
        <v>CA310 NORTHERN CA SPT TEAM</v>
      </c>
      <c r="C313" t="str">
        <f t="shared" si="67"/>
        <v>BUREAU OF LAND MANAGEMENT</v>
      </c>
      <c r="D313" t="str">
        <f>T("2950 RIVERSIDE DRIVE")</f>
        <v>2950 RIVERSIDE DRIVE</v>
      </c>
      <c r="E313" t="s">
        <v>0</v>
      </c>
      <c r="F313" t="s">
        <v>0</v>
      </c>
      <c r="G313" t="str">
        <f>T("SUSANVILLE")</f>
        <v>SUSANVILLE</v>
      </c>
      <c r="H313" t="str">
        <f t="shared" si="68"/>
        <v>CA </v>
      </c>
      <c r="I313" s="1">
        <f>N(96130)</f>
        <v>96130</v>
      </c>
      <c r="J313" s="1">
        <f>N(5302570456)</f>
        <v>5302570456</v>
      </c>
      <c r="K313" s="1">
        <f>N(5302574831)</f>
        <v>5302574831</v>
      </c>
    </row>
    <row r="314" spans="1:11" ht="12.75">
      <c r="A314" s="1" t="s">
        <v>11</v>
      </c>
      <c r="B314" t="str">
        <f>T("CA320 ALTURAS FIELD OFC")</f>
        <v>CA320 ALTURAS FIELD OFC</v>
      </c>
      <c r="C314" t="str">
        <f t="shared" si="67"/>
        <v>BUREAU OF LAND MANAGEMENT</v>
      </c>
      <c r="D314" t="str">
        <f>T("708 WEST 12TH STREET")</f>
        <v>708 WEST 12TH STREET</v>
      </c>
      <c r="E314" t="s">
        <v>0</v>
      </c>
      <c r="F314" t="s">
        <v>0</v>
      </c>
      <c r="G314" t="str">
        <f>T("ALTURAS")</f>
        <v>ALTURAS</v>
      </c>
      <c r="H314" t="str">
        <f t="shared" si="68"/>
        <v>CA </v>
      </c>
      <c r="I314" s="1">
        <f>N(96101)</f>
        <v>96101</v>
      </c>
      <c r="J314" s="1">
        <f>N(5302334666)</f>
        <v>5302334666</v>
      </c>
      <c r="K314" s="1">
        <f>N(5302335696)</f>
        <v>5302335696</v>
      </c>
    </row>
    <row r="315" spans="1:11" ht="12.75">
      <c r="A315" s="1" t="s">
        <v>11</v>
      </c>
      <c r="B315" t="str">
        <f>T("CA330 ARCATA FIELD OFC")</f>
        <v>CA330 ARCATA FIELD OFC</v>
      </c>
      <c r="C315" t="str">
        <f t="shared" si="67"/>
        <v>BUREAU OF LAND MANAGEMENT</v>
      </c>
      <c r="D315" t="str">
        <f>T("1695 HEINDON ROAD")</f>
        <v>1695 HEINDON ROAD</v>
      </c>
      <c r="E315" t="s">
        <v>0</v>
      </c>
      <c r="F315" t="s">
        <v>0</v>
      </c>
      <c r="G315" t="str">
        <f>T("ARCATA")</f>
        <v>ARCATA</v>
      </c>
      <c r="H315" t="str">
        <f t="shared" si="68"/>
        <v>CA </v>
      </c>
      <c r="I315" s="1">
        <f>N(95521)</f>
        <v>95521</v>
      </c>
      <c r="J315" s="1">
        <f>N(7078252300)</f>
        <v>7078252300</v>
      </c>
      <c r="K315" s="1">
        <f>N(7078252301)</f>
        <v>7078252301</v>
      </c>
    </row>
    <row r="316" spans="1:11" ht="12.75">
      <c r="A316" s="1" t="s">
        <v>11</v>
      </c>
      <c r="B316" t="str">
        <f>T("CA340 UKIAH FIELD OFFICE")</f>
        <v>CA340 UKIAH FIELD OFFICE</v>
      </c>
      <c r="C316" t="str">
        <f t="shared" si="67"/>
        <v>BUREAU OF LAND MANAGEMENT</v>
      </c>
      <c r="D316" t="str">
        <f>T("2550 NORTH STATE STREET")</f>
        <v>2550 NORTH STATE STREET</v>
      </c>
      <c r="E316" t="s">
        <v>0</v>
      </c>
      <c r="F316" t="s">
        <v>0</v>
      </c>
      <c r="G316" t="str">
        <f>T("UKIAH")</f>
        <v>UKIAH</v>
      </c>
      <c r="H316" t="str">
        <f t="shared" si="68"/>
        <v>CA </v>
      </c>
      <c r="I316" s="1">
        <f>N(95482)</f>
        <v>95482</v>
      </c>
      <c r="J316" s="1">
        <f>N(7074684000)</f>
        <v>7074684000</v>
      </c>
      <c r="K316" s="1">
        <f>N(7074684027)</f>
        <v>7074684027</v>
      </c>
    </row>
    <row r="317" spans="1:11" ht="12.75">
      <c r="A317" s="1" t="s">
        <v>11</v>
      </c>
      <c r="B317" t="str">
        <f>T("CA350 EAGLE LAKE FIELD OFC")</f>
        <v>CA350 EAGLE LAKE FIELD OFC</v>
      </c>
      <c r="C317" t="str">
        <f t="shared" si="67"/>
        <v>BUREAU OF LAND MANAGEMENT</v>
      </c>
      <c r="D317" t="str">
        <f>T("2950 RIVERSIDE DRIVE")</f>
        <v>2950 RIVERSIDE DRIVE</v>
      </c>
      <c r="E317" t="s">
        <v>0</v>
      </c>
      <c r="F317" t="s">
        <v>0</v>
      </c>
      <c r="G317" t="str">
        <f>T("SUSANVILLE")</f>
        <v>SUSANVILLE</v>
      </c>
      <c r="H317" t="str">
        <f t="shared" si="68"/>
        <v>CA </v>
      </c>
      <c r="I317" s="1">
        <f>N(96130)</f>
        <v>96130</v>
      </c>
      <c r="J317" s="1">
        <f>N(5302570456)</f>
        <v>5302570456</v>
      </c>
      <c r="K317" s="1">
        <f>N(5302574831)</f>
        <v>5302574831</v>
      </c>
    </row>
    <row r="318" spans="1:11" ht="12.75">
      <c r="A318" s="1" t="s">
        <v>11</v>
      </c>
      <c r="B318" t="str">
        <f>T("CA360 REDDING FIELD OFC")</f>
        <v>CA360 REDDING FIELD OFC</v>
      </c>
      <c r="C318" t="str">
        <f t="shared" si="67"/>
        <v>BUREAU OF LAND MANAGEMENT</v>
      </c>
      <c r="D318" t="str">
        <f>T("355 HEMSTED DRIVE")</f>
        <v>355 HEMSTED DRIVE</v>
      </c>
      <c r="E318" t="s">
        <v>0</v>
      </c>
      <c r="F318" t="s">
        <v>0</v>
      </c>
      <c r="G318" t="str">
        <f>T("REDDING")</f>
        <v>REDDING</v>
      </c>
      <c r="H318" t="str">
        <f t="shared" si="68"/>
        <v>CA </v>
      </c>
      <c r="I318" s="1">
        <f>N(96002)</f>
        <v>96002</v>
      </c>
      <c r="J318" s="1">
        <f>N(5302242100)</f>
        <v>5302242100</v>
      </c>
      <c r="K318" s="1">
        <f>N(5302242172)</f>
        <v>5302242172</v>
      </c>
    </row>
    <row r="319" spans="1:11" ht="12.75">
      <c r="A319" s="1" t="s">
        <v>11</v>
      </c>
      <c r="B319" t="str">
        <f>T("CA370 SURPRISE FIELD OFC")</f>
        <v>CA370 SURPRISE FIELD OFC</v>
      </c>
      <c r="C319" t="str">
        <f t="shared" si="67"/>
        <v>BUREAU OF LAND MANAGEMENT</v>
      </c>
      <c r="D319" t="str">
        <f>T("PO BOX 460")</f>
        <v>PO BOX 460</v>
      </c>
      <c r="E319" t="s">
        <v>0</v>
      </c>
      <c r="F319" t="s">
        <v>0</v>
      </c>
      <c r="G319" t="str">
        <f>T("CEDARVILLE")</f>
        <v>CEDARVILLE</v>
      </c>
      <c r="H319" t="str">
        <f t="shared" si="68"/>
        <v>CA </v>
      </c>
      <c r="I319" s="1">
        <f>N(96104)</f>
        <v>96104</v>
      </c>
      <c r="J319" s="1">
        <f>N(5302796101)</f>
        <v>5302796101</v>
      </c>
      <c r="K319" s="1">
        <f>N(5302792171)</f>
        <v>5302792171</v>
      </c>
    </row>
    <row r="320" spans="1:11" ht="12.75">
      <c r="A320" s="1" t="s">
        <v>11</v>
      </c>
      <c r="B320" t="str">
        <f>T("CO100 LITTLE SNAKE FIELD OFC")</f>
        <v>CO100 LITTLE SNAKE FIELD OFC</v>
      </c>
      <c r="C320" t="str">
        <f>T("455 EMERSON STREET")</f>
        <v>455 EMERSON STREET</v>
      </c>
      <c r="D320" t="str">
        <f>T("ATTN: FRANK GUTIERREZ")</f>
        <v>ATTN: FRANK GUTIERREZ</v>
      </c>
      <c r="E320" t="s">
        <v>0</v>
      </c>
      <c r="F320" t="s">
        <v>0</v>
      </c>
      <c r="G320" t="str">
        <f>T("CRAIG")</f>
        <v>CRAIG</v>
      </c>
      <c r="H320" t="str">
        <f aca="true" t="shared" si="69" ref="H320:H328">T("CO ")</f>
        <v>CO </v>
      </c>
      <c r="I320" s="1">
        <f>N(81625)</f>
        <v>81625</v>
      </c>
      <c r="J320" s="1">
        <f>N(9708265000)</f>
        <v>9708265000</v>
      </c>
      <c r="K320" s="1">
        <f>N(9708265002)</f>
        <v>9708265002</v>
      </c>
    </row>
    <row r="321" spans="1:11" ht="12.75">
      <c r="A321" s="1" t="s">
        <v>11</v>
      </c>
      <c r="B321" t="str">
        <f>T("CO110 WHITE RIVER FIELD OFC")</f>
        <v>CO110 WHITE RIVER FIELD OFC</v>
      </c>
      <c r="C321" t="str">
        <f>T("73544 HWY 64")</f>
        <v>73544 HWY 64</v>
      </c>
      <c r="D321" t="str">
        <f>T("ATTN: FRANK GUTIERREZ")</f>
        <v>ATTN: FRANK GUTIERREZ</v>
      </c>
      <c r="E321" t="s">
        <v>0</v>
      </c>
      <c r="F321" t="s">
        <v>0</v>
      </c>
      <c r="G321" t="str">
        <f>T("MEEKER")</f>
        <v>MEEKER</v>
      </c>
      <c r="H321" t="str">
        <f t="shared" si="69"/>
        <v>CO </v>
      </c>
      <c r="I321" s="1">
        <f>N(81641)</f>
        <v>81641</v>
      </c>
      <c r="J321" s="1">
        <f>N(9708783601)</f>
        <v>9708783601</v>
      </c>
      <c r="K321" s="1">
        <f>N(9708785717)</f>
        <v>9708785717</v>
      </c>
    </row>
    <row r="322" spans="1:11" ht="12.75">
      <c r="A322" s="1" t="s">
        <v>11</v>
      </c>
      <c r="B322" t="str">
        <f>T("CO120 KREMMLING FIELD OFC")</f>
        <v>CO120 KREMMLING FIELD OFC</v>
      </c>
      <c r="C322" t="str">
        <f>T("1116 PARK AVENUE")</f>
        <v>1116 PARK AVENUE</v>
      </c>
      <c r="D322" t="str">
        <f>T("P. O. BOX 68")</f>
        <v>P. O. BOX 68</v>
      </c>
      <c r="E322" t="str">
        <f>T("ATTN: FRANK GUTIERREZ")</f>
        <v>ATTN: FRANK GUTIERREZ</v>
      </c>
      <c r="F322" t="s">
        <v>0</v>
      </c>
      <c r="G322" t="str">
        <f>T("KREMMLING")</f>
        <v>KREMMLING</v>
      </c>
      <c r="H322" t="str">
        <f t="shared" si="69"/>
        <v>CO </v>
      </c>
      <c r="I322" s="1">
        <f>N(80459)</f>
        <v>80459</v>
      </c>
      <c r="J322" s="1">
        <f>N(9707243437)</f>
        <v>9707243437</v>
      </c>
      <c r="K322" s="1">
        <f>N(9707249590)</f>
        <v>9707249590</v>
      </c>
    </row>
    <row r="323" spans="1:11" ht="12.75">
      <c r="A323" s="1" t="s">
        <v>11</v>
      </c>
      <c r="B323" t="str">
        <f>T("CO150 UNCOMPAHGRE FIELD OFC")</f>
        <v>CO150 UNCOMPAHGRE FIELD OFC</v>
      </c>
      <c r="C323" t="str">
        <f>T("2505 SOUTH TOWNSEND")</f>
        <v>2505 SOUTH TOWNSEND</v>
      </c>
      <c r="D323" t="str">
        <f aca="true" t="shared" si="70" ref="D323:D328">T("ATTN: FRANK GUTIERREZ")</f>
        <v>ATTN: FRANK GUTIERREZ</v>
      </c>
      <c r="E323" t="s">
        <v>0</v>
      </c>
      <c r="F323" t="s">
        <v>0</v>
      </c>
      <c r="G323" t="str">
        <f>T("MONTROSE")</f>
        <v>MONTROSE</v>
      </c>
      <c r="H323" t="str">
        <f t="shared" si="69"/>
        <v>CO </v>
      </c>
      <c r="I323" s="1">
        <f>N(81401)</f>
        <v>81401</v>
      </c>
      <c r="J323" s="1">
        <f>N(9702405300)</f>
        <v>9702405300</v>
      </c>
      <c r="K323" s="1">
        <f>N(9702405367)</f>
        <v>9702405367</v>
      </c>
    </row>
    <row r="324" spans="1:11" ht="12.75">
      <c r="A324" s="1" t="s">
        <v>11</v>
      </c>
      <c r="B324" t="str">
        <f>T("CO160 GUNNISON FIELD OFC")</f>
        <v>CO160 GUNNISON FIELD OFC</v>
      </c>
      <c r="C324" t="str">
        <f>T("216 NORTH COLORADO")</f>
        <v>216 NORTH COLORADO</v>
      </c>
      <c r="D324" t="str">
        <f t="shared" si="70"/>
        <v>ATTN: FRANK GUTIERREZ</v>
      </c>
      <c r="E324" t="s">
        <v>0</v>
      </c>
      <c r="F324" t="s">
        <v>0</v>
      </c>
      <c r="G324" t="str">
        <f>T("GUNNISON")</f>
        <v>GUNNISON</v>
      </c>
      <c r="H324" t="str">
        <f t="shared" si="69"/>
        <v>CO </v>
      </c>
      <c r="I324" s="1">
        <f>N(81230)</f>
        <v>81230</v>
      </c>
      <c r="J324" s="1">
        <f>N(9706410471)</f>
        <v>9706410471</v>
      </c>
      <c r="K324" s="1">
        <f>N(9706411928)</f>
        <v>9706411928</v>
      </c>
    </row>
    <row r="325" spans="1:11" ht="12.75">
      <c r="A325" s="1" t="s">
        <v>11</v>
      </c>
      <c r="B325" t="str">
        <f>T("CO180 ANASAZI HERITAGE CENTER")</f>
        <v>CO180 ANASAZI HERITAGE CENTER</v>
      </c>
      <c r="C325" t="str">
        <f>T("27501 HIGHWAY 184")</f>
        <v>27501 HIGHWAY 184</v>
      </c>
      <c r="D325" t="str">
        <f t="shared" si="70"/>
        <v>ATTN: FRANK GUTIERREZ</v>
      </c>
      <c r="E325" t="s">
        <v>0</v>
      </c>
      <c r="F325" t="s">
        <v>0</v>
      </c>
      <c r="G325" t="str">
        <f>T("DOLORES")</f>
        <v>DOLORES</v>
      </c>
      <c r="H325" t="str">
        <f t="shared" si="69"/>
        <v>CO </v>
      </c>
      <c r="I325" s="1">
        <f>N(81323)</f>
        <v>81323</v>
      </c>
      <c r="J325" s="1">
        <f>N(9708824811)</f>
        <v>9708824811</v>
      </c>
      <c r="K325" s="1">
        <f>N(9708827035)</f>
        <v>9708827035</v>
      </c>
    </row>
    <row r="326" spans="1:11" ht="12.75">
      <c r="A326" s="1" t="s">
        <v>11</v>
      </c>
      <c r="B326" t="str">
        <f>T("CO510 LA JARA FIELD OFC")</f>
        <v>CO510 LA JARA FIELD OFC</v>
      </c>
      <c r="C326" t="str">
        <f>T("15571 COUNTY ROAD T 5")</f>
        <v>15571 COUNTY ROAD T 5</v>
      </c>
      <c r="D326" t="str">
        <f t="shared" si="70"/>
        <v>ATTN: FRANK GUTIERREZ</v>
      </c>
      <c r="E326" t="s">
        <v>0</v>
      </c>
      <c r="F326" t="s">
        <v>0</v>
      </c>
      <c r="G326" t="str">
        <f>T("LA JARA")</f>
        <v>LA JARA</v>
      </c>
      <c r="H326" t="str">
        <f t="shared" si="69"/>
        <v>CO </v>
      </c>
      <c r="I326" s="1">
        <f>N(81140)</f>
        <v>81140</v>
      </c>
      <c r="J326" s="1">
        <f>N(7192748971)</f>
        <v>7192748971</v>
      </c>
      <c r="K326" s="1">
        <f>N(7192746301)</f>
        <v>7192746301</v>
      </c>
    </row>
    <row r="327" spans="1:11" ht="12.75">
      <c r="A327" s="1" t="s">
        <v>11</v>
      </c>
      <c r="B327" t="str">
        <f>T("CO130 GRAND JUNCTION FIELD OFC")</f>
        <v>CO130 GRAND JUNCTION FIELD OFC</v>
      </c>
      <c r="C327" t="str">
        <f>T("2815 H ROAD")</f>
        <v>2815 H ROAD</v>
      </c>
      <c r="D327" t="str">
        <f t="shared" si="70"/>
        <v>ATTN: FRANK GUTIERREZ</v>
      </c>
      <c r="E327" t="s">
        <v>0</v>
      </c>
      <c r="F327" t="s">
        <v>0</v>
      </c>
      <c r="G327" t="str">
        <f>T("GRAND JUNCTION")</f>
        <v>GRAND JUNCTION</v>
      </c>
      <c r="H327" t="str">
        <f t="shared" si="69"/>
        <v>CO </v>
      </c>
      <c r="I327" s="1">
        <f>N(81506)</f>
        <v>81506</v>
      </c>
      <c r="J327" s="1">
        <f>N(9702443000)</f>
        <v>9702443000</v>
      </c>
      <c r="K327" s="1">
        <f>N(9702443083)</f>
        <v>9702443083</v>
      </c>
    </row>
    <row r="328" spans="1:11" ht="12.75">
      <c r="A328" s="1" t="s">
        <v>11</v>
      </c>
      <c r="B328" t="str">
        <f>T("CO140 GLENWOOD SPRGS FIELD OFC")</f>
        <v>CO140 GLENWOOD SPRGS FIELD OFC</v>
      </c>
      <c r="C328" t="str">
        <f>T("50629 HIGHWAY 6 &amp; 24")</f>
        <v>50629 HIGHWAY 6 &amp; 24</v>
      </c>
      <c r="D328" t="str">
        <f t="shared" si="70"/>
        <v>ATTN: FRANK GUTIERREZ</v>
      </c>
      <c r="E328" t="s">
        <v>0</v>
      </c>
      <c r="F328" t="s">
        <v>0</v>
      </c>
      <c r="G328" t="str">
        <f>T("GLENWOOD SPRGS")</f>
        <v>GLENWOOD SPRGS</v>
      </c>
      <c r="H328" t="str">
        <f t="shared" si="69"/>
        <v>CO </v>
      </c>
      <c r="I328" s="1">
        <f>N(81602)</f>
        <v>81602</v>
      </c>
      <c r="J328" s="1">
        <f>N(9709472800)</f>
        <v>9709472800</v>
      </c>
      <c r="K328" s="1">
        <f>N(9709472829)</f>
        <v>9709472829</v>
      </c>
    </row>
    <row r="329" spans="1:11" ht="12.75">
      <c r="A329" s="1" t="s">
        <v>11</v>
      </c>
      <c r="B329" t="str">
        <f>T("FC220 BUSINESS PRACTICES GRP")</f>
        <v>FC220 BUSINESS PRACTICES GRP</v>
      </c>
      <c r="C329" t="str">
        <f aca="true" t="shared" si="71" ref="C329:C335">T("BLM OFFICE OF FIRE &amp; AVIATION")</f>
        <v>BLM OFFICE OF FIRE &amp; AVIATION</v>
      </c>
      <c r="D329" t="str">
        <f aca="true" t="shared" si="72" ref="D329:D335">T("3833 S. DEVELOPMENT AVE.")</f>
        <v>3833 S. DEVELOPMENT AVE.</v>
      </c>
      <c r="E329" t="str">
        <f aca="true" t="shared" si="73" ref="E329:E335">T("ATTN: SUPP SVCS STAFF ASST")</f>
        <v>ATTN: SUPP SVCS STAFF ASST</v>
      </c>
      <c r="F329" t="s">
        <v>0</v>
      </c>
      <c r="G329" t="str">
        <f aca="true" t="shared" si="74" ref="G329:G335">T("BOISE")</f>
        <v>BOISE</v>
      </c>
      <c r="H329" t="str">
        <f aca="true" t="shared" si="75" ref="H329:H336">T("ID ")</f>
        <v>ID </v>
      </c>
      <c r="I329" s="1">
        <f aca="true" t="shared" si="76" ref="I329:I335">N(837055354)</f>
        <v>837055354</v>
      </c>
      <c r="J329" s="1">
        <f aca="true" t="shared" si="77" ref="J329:J335">N(2083875510)</f>
        <v>2083875510</v>
      </c>
      <c r="K329" s="1">
        <f aca="true" t="shared" si="78" ref="K329:K335">N(2083875376)</f>
        <v>2083875376</v>
      </c>
    </row>
    <row r="330" spans="1:11" ht="12.75">
      <c r="A330" s="1" t="s">
        <v>11</v>
      </c>
      <c r="B330" t="str">
        <f>T("FC230 NATL F&amp;A TRNG SUPPT GRP")</f>
        <v>FC230 NATL F&amp;A TRNG SUPPT GRP</v>
      </c>
      <c r="C330" t="str">
        <f t="shared" si="71"/>
        <v>BLM OFFICE OF FIRE &amp; AVIATION</v>
      </c>
      <c r="D330" t="str">
        <f t="shared" si="72"/>
        <v>3833 S. DEVELOPMENT AVE.</v>
      </c>
      <c r="E330" t="str">
        <f t="shared" si="73"/>
        <v>ATTN: SUPP SVCS STAFF ASST</v>
      </c>
      <c r="F330" t="s">
        <v>0</v>
      </c>
      <c r="G330" t="str">
        <f t="shared" si="74"/>
        <v>BOISE</v>
      </c>
      <c r="H330" t="str">
        <f t="shared" si="75"/>
        <v>ID </v>
      </c>
      <c r="I330" s="1">
        <f t="shared" si="76"/>
        <v>837055354</v>
      </c>
      <c r="J330" s="1">
        <f t="shared" si="77"/>
        <v>2083875510</v>
      </c>
      <c r="K330" s="1">
        <f t="shared" si="78"/>
        <v>2083875376</v>
      </c>
    </row>
    <row r="331" spans="1:11" ht="12.75">
      <c r="A331" s="1" t="s">
        <v>11</v>
      </c>
      <c r="B331" t="str">
        <f>T("FC240 GREAT BASIN SPT GRP")</f>
        <v>FC240 GREAT BASIN SPT GRP</v>
      </c>
      <c r="C331" t="str">
        <f t="shared" si="71"/>
        <v>BLM OFFICE OF FIRE &amp; AVIATION</v>
      </c>
      <c r="D331" t="str">
        <f t="shared" si="72"/>
        <v>3833 S. DEVELOPMENT AVE.</v>
      </c>
      <c r="E331" t="str">
        <f t="shared" si="73"/>
        <v>ATTN: SUPP SVCS STAFF ASST</v>
      </c>
      <c r="F331" t="s">
        <v>0</v>
      </c>
      <c r="G331" t="str">
        <f t="shared" si="74"/>
        <v>BOISE</v>
      </c>
      <c r="H331" t="str">
        <f t="shared" si="75"/>
        <v>ID </v>
      </c>
      <c r="I331" s="1">
        <f t="shared" si="76"/>
        <v>837055354</v>
      </c>
      <c r="J331" s="1">
        <f t="shared" si="77"/>
        <v>2083875510</v>
      </c>
      <c r="K331" s="1">
        <f t="shared" si="78"/>
        <v>2083875376</v>
      </c>
    </row>
    <row r="332" spans="1:11" ht="12.75">
      <c r="A332" s="1" t="s">
        <v>11</v>
      </c>
      <c r="B332" t="str">
        <f>T("FC250 SMOKEJUMPER GRP")</f>
        <v>FC250 SMOKEJUMPER GRP</v>
      </c>
      <c r="C332" t="str">
        <f t="shared" si="71"/>
        <v>BLM OFFICE OF FIRE &amp; AVIATION</v>
      </c>
      <c r="D332" t="str">
        <f t="shared" si="72"/>
        <v>3833 S. DEVELOPMENT AVE.</v>
      </c>
      <c r="E332" t="str">
        <f t="shared" si="73"/>
        <v>ATTN: SUPP SVCS STAFF ASST</v>
      </c>
      <c r="F332" t="s">
        <v>0</v>
      </c>
      <c r="G332" t="str">
        <f t="shared" si="74"/>
        <v>BOISE</v>
      </c>
      <c r="H332" t="str">
        <f t="shared" si="75"/>
        <v>ID </v>
      </c>
      <c r="I332" s="1">
        <f t="shared" si="76"/>
        <v>837055354</v>
      </c>
      <c r="J332" s="1">
        <f t="shared" si="77"/>
        <v>2083875510</v>
      </c>
      <c r="K332" s="1">
        <f t="shared" si="78"/>
        <v>2083875376</v>
      </c>
    </row>
    <row r="333" spans="1:11" ht="12.75">
      <c r="A333" s="1" t="s">
        <v>11</v>
      </c>
      <c r="B333" t="str">
        <f>T("FC260 REMOTE SENSING GRP")</f>
        <v>FC260 REMOTE SENSING GRP</v>
      </c>
      <c r="C333" t="str">
        <f t="shared" si="71"/>
        <v>BLM OFFICE OF FIRE &amp; AVIATION</v>
      </c>
      <c r="D333" t="str">
        <f t="shared" si="72"/>
        <v>3833 S. DEVELOPMENT AVE.</v>
      </c>
      <c r="E333" t="str">
        <f t="shared" si="73"/>
        <v>ATTN: SUPP SVCS STAFF ASST</v>
      </c>
      <c r="F333" t="s">
        <v>0</v>
      </c>
      <c r="G333" t="str">
        <f t="shared" si="74"/>
        <v>BOISE</v>
      </c>
      <c r="H333" t="str">
        <f t="shared" si="75"/>
        <v>ID </v>
      </c>
      <c r="I333" s="1">
        <f t="shared" si="76"/>
        <v>837055354</v>
      </c>
      <c r="J333" s="1">
        <f t="shared" si="77"/>
        <v>2083875510</v>
      </c>
      <c r="K333" s="1">
        <f t="shared" si="78"/>
        <v>2083875376</v>
      </c>
    </row>
    <row r="334" spans="1:11" ht="12.75">
      <c r="A334" s="1" t="s">
        <v>11</v>
      </c>
      <c r="B334" t="str">
        <f>T("FC270 NICC GRP")</f>
        <v>FC270 NICC GRP</v>
      </c>
      <c r="C334" t="str">
        <f t="shared" si="71"/>
        <v>BLM OFFICE OF FIRE &amp; AVIATION</v>
      </c>
      <c r="D334" t="str">
        <f t="shared" si="72"/>
        <v>3833 S. DEVELOPMENT AVE.</v>
      </c>
      <c r="E334" t="str">
        <f t="shared" si="73"/>
        <v>ATTN: SUPP SVCS STAFF ASST</v>
      </c>
      <c r="F334" t="s">
        <v>0</v>
      </c>
      <c r="G334" t="str">
        <f t="shared" si="74"/>
        <v>BOISE</v>
      </c>
      <c r="H334" t="str">
        <f t="shared" si="75"/>
        <v>ID </v>
      </c>
      <c r="I334" s="1">
        <f t="shared" si="76"/>
        <v>837055354</v>
      </c>
      <c r="J334" s="1">
        <f t="shared" si="77"/>
        <v>2083875510</v>
      </c>
      <c r="K334" s="1">
        <f t="shared" si="78"/>
        <v>2083875376</v>
      </c>
    </row>
    <row r="335" spans="1:11" ht="12.75">
      <c r="A335" s="1" t="s">
        <v>11</v>
      </c>
      <c r="B335" t="str">
        <f>T("FC280 MAINTENANCE GRP")</f>
        <v>FC280 MAINTENANCE GRP</v>
      </c>
      <c r="C335" t="str">
        <f t="shared" si="71"/>
        <v>BLM OFFICE OF FIRE &amp; AVIATION</v>
      </c>
      <c r="D335" t="str">
        <f t="shared" si="72"/>
        <v>3833 S. DEVELOPMENT AVE.</v>
      </c>
      <c r="E335" t="str">
        <f t="shared" si="73"/>
        <v>ATTN: SUPP SVCS STAFF ASST</v>
      </c>
      <c r="F335" t="s">
        <v>0</v>
      </c>
      <c r="G335" t="str">
        <f t="shared" si="74"/>
        <v>BOISE</v>
      </c>
      <c r="H335" t="str">
        <f t="shared" si="75"/>
        <v>ID </v>
      </c>
      <c r="I335" s="1">
        <f t="shared" si="76"/>
        <v>837055354</v>
      </c>
      <c r="J335" s="1">
        <f t="shared" si="77"/>
        <v>2083875510</v>
      </c>
      <c r="K335" s="1">
        <f t="shared" si="78"/>
        <v>2083875376</v>
      </c>
    </row>
    <row r="336" spans="1:11" ht="12.75">
      <c r="A336" s="1" t="s">
        <v>11</v>
      </c>
      <c r="B336" t="str">
        <f>T("ID097 JARBIDGE FIELD OFC")</f>
        <v>ID097 JARBIDGE FIELD OFC</v>
      </c>
      <c r="C336" t="str">
        <f>T("2620 KIMBERLY ROAD")</f>
        <v>2620 KIMBERLY ROAD</v>
      </c>
      <c r="D336" t="s">
        <v>0</v>
      </c>
      <c r="E336" t="s">
        <v>0</v>
      </c>
      <c r="F336" t="s">
        <v>0</v>
      </c>
      <c r="G336" t="str">
        <f>T("TWIN FALLS")</f>
        <v>TWIN FALLS</v>
      </c>
      <c r="H336" t="str">
        <f t="shared" si="75"/>
        <v>ID </v>
      </c>
      <c r="I336" s="1">
        <f>N(833017975)</f>
        <v>833017975</v>
      </c>
      <c r="J336" s="1">
        <f>N(2087362350)</f>
        <v>2087362350</v>
      </c>
      <c r="K336" s="1">
        <f>N(2087362375)</f>
        <v>2087362375</v>
      </c>
    </row>
    <row r="337" spans="1:11" ht="12.75">
      <c r="A337" s="1" t="s">
        <v>11</v>
      </c>
      <c r="B337" t="str">
        <f>T("OR014 KLAMATH FALLS FIELD OFC")</f>
        <v>OR014 KLAMATH FALLS FIELD OFC</v>
      </c>
      <c r="C337" t="str">
        <f>T("2795 ANDERSON AVE BUILDING #25")</f>
        <v>2795 ANDERSON AVE BUILDING #25</v>
      </c>
      <c r="D337" t="s">
        <v>0</v>
      </c>
      <c r="E337" t="s">
        <v>0</v>
      </c>
      <c r="F337" t="s">
        <v>0</v>
      </c>
      <c r="G337" t="str">
        <f>T("KLAMATH FALLS")</f>
        <v>KLAMATH FALLS</v>
      </c>
      <c r="H337" t="str">
        <f>T("OR ")</f>
        <v>OR </v>
      </c>
      <c r="I337" s="1">
        <f>N(97603)</f>
        <v>97603</v>
      </c>
      <c r="J337" s="1">
        <f>N(5418836916)</f>
        <v>5418836916</v>
      </c>
      <c r="K337" s="1">
        <f>N(5418842097)</f>
        <v>5418842097</v>
      </c>
    </row>
    <row r="338" spans="1:11" ht="12.75">
      <c r="A338" s="1" t="s">
        <v>11</v>
      </c>
      <c r="B338" t="str">
        <f>T("OR086 TILLAMOOK FIELD OFC")</f>
        <v>OR086 TILLAMOOK FIELD OFC</v>
      </c>
      <c r="C338" t="str">
        <f>T("4610 THIRD ST.")</f>
        <v>4610 THIRD ST.</v>
      </c>
      <c r="D338" t="s">
        <v>0</v>
      </c>
      <c r="E338" t="s">
        <v>0</v>
      </c>
      <c r="F338" t="s">
        <v>0</v>
      </c>
      <c r="G338" t="str">
        <f>T("TILLAMOOK")</f>
        <v>TILLAMOOK</v>
      </c>
      <c r="H338" t="str">
        <f>T("OR ")</f>
        <v>OR </v>
      </c>
      <c r="I338" s="1">
        <f>N(97141)</f>
        <v>97141</v>
      </c>
      <c r="J338" s="1">
        <f>N(5038151100)</f>
        <v>5038151100</v>
      </c>
      <c r="K338" s="1">
        <f>N(5038151107)</f>
        <v>5038151107</v>
      </c>
    </row>
    <row r="339" spans="1:11" ht="12.75">
      <c r="A339" s="1" t="s">
        <v>11</v>
      </c>
      <c r="B339" t="str">
        <f>T("OR134 WENATCHEE FIELD OFC")</f>
        <v>OR134 WENATCHEE FIELD OFC</v>
      </c>
      <c r="C339" t="str">
        <f>T("915 N. WALLA WALLA")</f>
        <v>915 N. WALLA WALLA</v>
      </c>
      <c r="D339" t="s">
        <v>0</v>
      </c>
      <c r="E339" t="s">
        <v>0</v>
      </c>
      <c r="F339" t="s">
        <v>0</v>
      </c>
      <c r="G339" t="str">
        <f>T("WENATCHEE")</f>
        <v>WENATCHEE</v>
      </c>
      <c r="H339" t="str">
        <f>T("WA ")</f>
        <v>WA </v>
      </c>
      <c r="I339" s="1">
        <f>N(98801)</f>
        <v>98801</v>
      </c>
      <c r="J339" s="1">
        <f>N(5096652100)</f>
        <v>5096652100</v>
      </c>
      <c r="K339" s="1">
        <f>N(5096652121)</f>
        <v>5096652121</v>
      </c>
    </row>
    <row r="340" spans="1:11" ht="12.75">
      <c r="A340" s="1" t="s">
        <v>11</v>
      </c>
      <c r="B340" t="str">
        <f>T("UT045 DIXIE FIELD OFC")</f>
        <v>UT045 DIXIE FIELD OFC</v>
      </c>
      <c r="C340" t="str">
        <f>T("BUREAU OF LAND MANAGEMENT")</f>
        <v>BUREAU OF LAND MANAGEMENT</v>
      </c>
      <c r="D340" t="str">
        <f>T("ST. GEORGE FIELD OFFICE")</f>
        <v>ST. GEORGE FIELD OFFICE</v>
      </c>
      <c r="E340" t="str">
        <f>T("345 EAST RIVERSIDE DRIVE")</f>
        <v>345 EAST RIVERSIDE DRIVE</v>
      </c>
      <c r="F340" t="s">
        <v>0</v>
      </c>
      <c r="G340" t="str">
        <f>T("ST. GEORGE")</f>
        <v>ST. GEORGE</v>
      </c>
      <c r="H340" t="str">
        <f>T("UT ")</f>
        <v>UT </v>
      </c>
      <c r="I340" s="1">
        <f>N(84790)</f>
        <v>84790</v>
      </c>
      <c r="J340" s="1">
        <f>N(4356883200)</f>
        <v>4356883200</v>
      </c>
      <c r="K340" s="1">
        <f>N(4356883252)</f>
        <v>4356883252</v>
      </c>
    </row>
    <row r="341" spans="1:11" ht="12.75">
      <c r="A341" s="1" t="s">
        <v>11</v>
      </c>
      <c r="B341" t="str">
        <f>T("UT046 KANAB FIELD OFC")</f>
        <v>UT046 KANAB FIELD OFC</v>
      </c>
      <c r="C341" t="str">
        <f>T("BUREAU OF LAND MANAGEMENT")</f>
        <v>BUREAU OF LAND MANAGEMENT</v>
      </c>
      <c r="D341" t="str">
        <f>T("KANAB FIELD OFFICE")</f>
        <v>KANAB FIELD OFFICE</v>
      </c>
      <c r="E341" t="str">
        <f>T("318 NORTH 100 EST")</f>
        <v>318 NORTH 100 EST</v>
      </c>
      <c r="F341" t="s">
        <v>0</v>
      </c>
      <c r="G341" t="str">
        <f>T("KANAB")</f>
        <v>KANAB</v>
      </c>
      <c r="H341" t="str">
        <f>T("UT ")</f>
        <v>UT </v>
      </c>
      <c r="I341" s="1">
        <f>N(84741)</f>
        <v>84741</v>
      </c>
      <c r="J341" s="1">
        <f>N(4356444300)</f>
        <v>4356444300</v>
      </c>
      <c r="K341" s="1">
        <f>N(4356444350)</f>
        <v>4356444350</v>
      </c>
    </row>
    <row r="342" spans="1:11" ht="12.75">
      <c r="A342" s="1" t="s">
        <v>11</v>
      </c>
      <c r="B342" t="str">
        <f>T("CO520 SAGUACHE FIELD OFC")</f>
        <v>CO520 SAGUACHE FIELD OFC</v>
      </c>
      <c r="C342" t="str">
        <f>T("46525 HIGHWAY 114")</f>
        <v>46525 HIGHWAY 114</v>
      </c>
      <c r="D342" t="str">
        <f>T("ATTN: BARBARA CREECH")</f>
        <v>ATTN: BARBARA CREECH</v>
      </c>
      <c r="E342" t="s">
        <v>0</v>
      </c>
      <c r="F342" t="s">
        <v>0</v>
      </c>
      <c r="G342" t="str">
        <f>T("SAGUACHE")</f>
        <v>SAGUACHE</v>
      </c>
      <c r="H342" t="str">
        <f>T("CO ")</f>
        <v>CO </v>
      </c>
      <c r="I342" s="1">
        <f>N(81149)</f>
        <v>81149</v>
      </c>
      <c r="J342" s="1">
        <f>N(7196552547)</f>
        <v>7196552547</v>
      </c>
      <c r="K342" s="1">
        <f>N(7196552502)</f>
        <v>7196552502</v>
      </c>
    </row>
    <row r="343" spans="1:11" ht="12.75">
      <c r="A343" s="1" t="s">
        <v>11</v>
      </c>
      <c r="B343" t="str">
        <f>T("CO520 SAGUACHE FIELD OFC")</f>
        <v>CO520 SAGUACHE FIELD OFC</v>
      </c>
      <c r="C343" t="str">
        <f>T("46525 HIGHWAY 114")</f>
        <v>46525 HIGHWAY 114</v>
      </c>
      <c r="D343" t="str">
        <f>T("ATTN: FRANK GUTIERREZ")</f>
        <v>ATTN: FRANK GUTIERREZ</v>
      </c>
      <c r="E343" t="s">
        <v>0</v>
      </c>
      <c r="F343" t="s">
        <v>0</v>
      </c>
      <c r="G343" t="str">
        <f>T("SAGUACHE")</f>
        <v>SAGUACHE</v>
      </c>
      <c r="H343" t="str">
        <f>T("CO ")</f>
        <v>CO </v>
      </c>
      <c r="I343" s="1">
        <f>N(81149)</f>
        <v>81149</v>
      </c>
      <c r="J343" s="1">
        <f>N(7196552547)</f>
        <v>7196552547</v>
      </c>
      <c r="K343" s="1">
        <f>N(7196552502)</f>
        <v>7196552502</v>
      </c>
    </row>
    <row r="344" spans="1:11" ht="12.75">
      <c r="A344" s="1" t="s">
        <v>11</v>
      </c>
      <c r="B344" t="str">
        <f>T("CA338 KING RANGE NATL CONS ARE")</f>
        <v>CA338 KING RANGE NATL CONS ARE</v>
      </c>
      <c r="C344" t="str">
        <f>T("BUREAU OF LAND MANAGEMENT")</f>
        <v>BUREAU OF LAND MANAGEMENT</v>
      </c>
      <c r="D344" t="str">
        <f>T("1695 HEINDON ROAD")</f>
        <v>1695 HEINDON ROAD</v>
      </c>
      <c r="E344" t="s">
        <v>0</v>
      </c>
      <c r="F344" t="s">
        <v>0</v>
      </c>
      <c r="G344" t="str">
        <f>T("ARCATA")</f>
        <v>ARCATA</v>
      </c>
      <c r="H344" t="str">
        <f>T("CA ")</f>
        <v>CA </v>
      </c>
      <c r="I344" s="1">
        <f>N(95521)</f>
        <v>95521</v>
      </c>
      <c r="J344" s="1">
        <f>N(7078252300)</f>
        <v>7078252300</v>
      </c>
      <c r="K344" s="1">
        <f>N(7078252301)</f>
        <v>7078252301</v>
      </c>
    </row>
    <row r="345" spans="1:11" ht="12.75">
      <c r="A345" s="1" t="s">
        <v>11</v>
      </c>
      <c r="B345" t="str">
        <f>T("CA339 HEADWATERS FORST RESERVE")</f>
        <v>CA339 HEADWATERS FORST RESERVE</v>
      </c>
      <c r="C345" t="str">
        <f>T("BUREAU OF LAND MANAGEMENT")</f>
        <v>BUREAU OF LAND MANAGEMENT</v>
      </c>
      <c r="D345" t="str">
        <f>T("1695 HEINDON ROAD")</f>
        <v>1695 HEINDON ROAD</v>
      </c>
      <c r="E345" t="s">
        <v>0</v>
      </c>
      <c r="F345" t="s">
        <v>0</v>
      </c>
      <c r="G345" t="str">
        <f>T("ARCATA")</f>
        <v>ARCATA</v>
      </c>
      <c r="H345" t="str">
        <f>T("CA ")</f>
        <v>CA </v>
      </c>
      <c r="I345" s="1">
        <f>N(95521)</f>
        <v>95521</v>
      </c>
      <c r="J345" s="1">
        <f>N(7078252300)</f>
        <v>7078252300</v>
      </c>
      <c r="K345" s="1">
        <f>N(7078252301)</f>
        <v>7078252301</v>
      </c>
    </row>
    <row r="346" spans="1:11" ht="12.75">
      <c r="A346" s="1" t="s">
        <v>11</v>
      </c>
      <c r="B346" t="str">
        <f>T("CA939 CALIFORNIA CSTL NATL MON")</f>
        <v>CA939 CALIFORNIA CSTL NATL MON</v>
      </c>
      <c r="C346" t="str">
        <f>T("BUREAU OF LAND MANAGEMENT")</f>
        <v>BUREAU OF LAND MANAGEMENT</v>
      </c>
      <c r="D346" t="str">
        <f>T("2800 COTTAGE WAY  RM W 1834")</f>
        <v>2800 COTTAGE WAY  RM W 1834</v>
      </c>
      <c r="E346" t="s">
        <v>0</v>
      </c>
      <c r="F346" t="s">
        <v>0</v>
      </c>
      <c r="G346" t="str">
        <f>T("SACRAMENTO")</f>
        <v>SACRAMENTO</v>
      </c>
      <c r="H346" t="str">
        <f>T("CA ")</f>
        <v>CA </v>
      </c>
      <c r="I346" s="1">
        <f>N(95825)</f>
        <v>95825</v>
      </c>
      <c r="J346" s="1">
        <f>N(9169784630)</f>
        <v>9169784630</v>
      </c>
      <c r="K346" s="1">
        <f>N(9169784657)</f>
        <v>9169784657</v>
      </c>
    </row>
    <row r="347" spans="1:11" ht="12.75">
      <c r="A347" s="1" t="s">
        <v>11</v>
      </c>
      <c r="B347" t="str">
        <f>T("CO154 GUNNISON GORGE NATL CONS")</f>
        <v>CO154 GUNNISON GORGE NATL CONS</v>
      </c>
      <c r="C347" t="str">
        <f>T("2505 SOUTH TOWNSEND")</f>
        <v>2505 SOUTH TOWNSEND</v>
      </c>
      <c r="D347" t="str">
        <f>T("ATTN: KAREN JETLEY")</f>
        <v>ATTN: KAREN JETLEY</v>
      </c>
      <c r="E347" t="s">
        <v>0</v>
      </c>
      <c r="F347" t="s">
        <v>0</v>
      </c>
      <c r="G347" t="str">
        <f>T("MONTROSE")</f>
        <v>MONTROSE</v>
      </c>
      <c r="H347" t="str">
        <f>T("CO ")</f>
        <v>CO </v>
      </c>
      <c r="I347" s="1">
        <f>N(81401)</f>
        <v>81401</v>
      </c>
      <c r="J347" s="1">
        <f>N(9702405300)</f>
        <v>9702405300</v>
      </c>
      <c r="K347" s="1">
        <f>N(9702405367)</f>
        <v>9702405367</v>
      </c>
    </row>
    <row r="348" spans="1:11" ht="12.75">
      <c r="A348" s="1" t="s">
        <v>11</v>
      </c>
      <c r="B348" t="str">
        <f>T("WO170 OFF OF NATL LNDSCP CONS")</f>
        <v>WO170 OFF OF NATL LNDSCP CONS</v>
      </c>
      <c r="C348" t="str">
        <f>T("USDI  BLM WO 170  ")</f>
        <v>USDI  BLM WO 170  </v>
      </c>
      <c r="D348" t="str">
        <f>T("1849 C STREET  NW  ROOM 5635 ")</f>
        <v>1849 C STREET  NW  ROOM 5635 </v>
      </c>
      <c r="E348" t="str">
        <f>T("ATTN:  ELAINE MARQUIS BRONG")</f>
        <v>ATTN:  ELAINE MARQUIS BRONG</v>
      </c>
      <c r="F348" t="s">
        <v>0</v>
      </c>
      <c r="G348" t="str">
        <f>T("WASHINGTON")</f>
        <v>WASHINGTON</v>
      </c>
      <c r="H348" t="str">
        <f aca="true" t="shared" si="79" ref="H348:H366">T("DC ")</f>
        <v>DC </v>
      </c>
      <c r="I348" s="1">
        <f aca="true" t="shared" si="80" ref="I348:I366">N(20240)</f>
        <v>20240</v>
      </c>
      <c r="J348" s="1">
        <f>N(2022083516)</f>
        <v>2022083516</v>
      </c>
      <c r="K348" s="1">
        <f>N(2026532154)</f>
        <v>2026532154</v>
      </c>
    </row>
    <row r="349" spans="1:11" ht="12.75">
      <c r="A349" s="1" t="s">
        <v>11</v>
      </c>
      <c r="B349" t="str">
        <f>T("WO210 PLANNING ASSMNT AND COMM")</f>
        <v>WO210 PLANNING ASSMNT AND COMM</v>
      </c>
      <c r="C349" t="str">
        <f>T("USDI  BLM WO 210 ")</f>
        <v>USDI  BLM WO 210 </v>
      </c>
      <c r="D349" t="str">
        <f>T("1849 C STREET  NW  ROOM 1050LS ")</f>
        <v>1849 C STREET  NW  ROOM 1050LS </v>
      </c>
      <c r="E349" t="str">
        <f>T("ATTN:  ANN ALDRICH")</f>
        <v>ATTN:  ANN ALDRICH</v>
      </c>
      <c r="F349" t="s">
        <v>0</v>
      </c>
      <c r="G349" t="str">
        <f>T("WASHINGTON")</f>
        <v>WASHINGTON</v>
      </c>
      <c r="H349" t="str">
        <f t="shared" si="79"/>
        <v>DC </v>
      </c>
      <c r="I349" s="1">
        <f t="shared" si="80"/>
        <v>20240</v>
      </c>
      <c r="J349" s="1">
        <f>N(2024527722)</f>
        <v>2024527722</v>
      </c>
      <c r="K349" s="1">
        <f>N(2024525112)</f>
        <v>2024525112</v>
      </c>
    </row>
    <row r="350" spans="1:11" ht="12.75">
      <c r="A350" s="1" t="s">
        <v>11</v>
      </c>
      <c r="B350" t="str">
        <f>T("WO220 RANGELANDS SL WTR AND WH")</f>
        <v>WO220 RANGELANDS SL WTR AND WH</v>
      </c>
      <c r="C350" t="str">
        <f>T("USDI  BLM  WO 220 ")</f>
        <v>USDI  BLM  WO 220 </v>
      </c>
      <c r="D350" t="str">
        <f>T("1849 C STREET  NW  ROOM 314LS ")</f>
        <v>1849 C STREET  NW  ROOM 314LS </v>
      </c>
      <c r="E350" t="str">
        <f>T("ATTN:  TIM REUWSATT")</f>
        <v>ATTN:  TIM REUWSATT</v>
      </c>
      <c r="F350" t="s">
        <v>0</v>
      </c>
      <c r="G350" t="str">
        <f>T("WASHINGTON")</f>
        <v>WASHINGTON</v>
      </c>
      <c r="H350" t="str">
        <f t="shared" si="79"/>
        <v>DC </v>
      </c>
      <c r="I350" s="1">
        <f t="shared" si="80"/>
        <v>20240</v>
      </c>
      <c r="J350" s="1">
        <f>N(2024525179)</f>
        <v>2024525179</v>
      </c>
      <c r="K350" s="1">
        <f>N(2026535279)</f>
        <v>2026535279</v>
      </c>
    </row>
    <row r="351" spans="1:11" ht="12.75">
      <c r="A351" s="1" t="s">
        <v>11</v>
      </c>
      <c r="B351" t="str">
        <f>T("WO230 FISH WILDLIFE &amp; FORESTS")</f>
        <v>WO230 FISH WILDLIFE &amp; FORESTS</v>
      </c>
      <c r="C351" t="str">
        <f>T("USDI  BLM  WO 230 ")</f>
        <v>USDI  BLM  WO 230 </v>
      </c>
      <c r="D351" t="str">
        <f>T("1849 C STREET  NW  ROOM 204LS ")</f>
        <v>1849 C STREET  NW  ROOM 204LS </v>
      </c>
      <c r="E351" t="str">
        <f>T("ATTN:  CHRISTINE JAUHOLA")</f>
        <v>ATTN:  CHRISTINE JAUHOLA</v>
      </c>
      <c r="F351" t="s">
        <v>0</v>
      </c>
      <c r="G351" t="str">
        <f>T("WASHINGTON")</f>
        <v>WASHINGTON</v>
      </c>
      <c r="H351" t="str">
        <f t="shared" si="79"/>
        <v>DC </v>
      </c>
      <c r="I351" s="1">
        <f t="shared" si="80"/>
        <v>20240</v>
      </c>
      <c r="J351" s="1">
        <f>N(2024527761)</f>
        <v>2024527761</v>
      </c>
      <c r="K351" s="1">
        <f>N(2024527702)</f>
        <v>2024527702</v>
      </c>
    </row>
    <row r="352" spans="1:11" ht="12.75">
      <c r="A352" s="1" t="s">
        <v>11</v>
      </c>
      <c r="B352" t="str">
        <f>T("WO240 CULTRL HERITG WILDERNESS")</f>
        <v>WO240 CULTRL HERITG WILDERNESS</v>
      </c>
      <c r="C352" t="str">
        <f>T("USDI  BLM  WO 240 ")</f>
        <v>USDI  BLM  WO 240 </v>
      </c>
      <c r="D352" t="str">
        <f>T("1849 C STREET  NW  ROOM 204LS ")</f>
        <v>1849 C STREET  NW  ROOM 204LS </v>
      </c>
      <c r="E352" t="str">
        <f>T("ATTN:  MARILYN NICKELS")</f>
        <v>ATTN:  MARILYN NICKELS</v>
      </c>
      <c r="F352" t="s">
        <v>0</v>
      </c>
      <c r="G352" t="str">
        <f>T("WASHINGTON")</f>
        <v>WASHINGTON</v>
      </c>
      <c r="H352" t="str">
        <f t="shared" si="79"/>
        <v>DC </v>
      </c>
      <c r="I352" s="1">
        <f t="shared" si="80"/>
        <v>20240</v>
      </c>
      <c r="J352" s="1">
        <f>N(2024520331)</f>
        <v>2024520331</v>
      </c>
      <c r="K352" s="1">
        <f>N(2024527701)</f>
        <v>2024527701</v>
      </c>
    </row>
    <row r="353" spans="1:11" ht="12.75">
      <c r="A353" s="1" t="s">
        <v>11</v>
      </c>
      <c r="B353" t="str">
        <f>T("WO250 RECREATION")</f>
        <v>WO250 RECREATION</v>
      </c>
      <c r="C353" t="str">
        <f>T("USDI  BLM  WO 250 ")</f>
        <v>USDI  BLM  WO 250 </v>
      </c>
      <c r="D353" t="str">
        <f>T("1849 C STREET  NW  ROOM 204LS ")</f>
        <v>1849 C STREET  NW  ROOM 204LS </v>
      </c>
      <c r="E353" t="str">
        <f>T("ATTN:  RODGER SCHMITT")</f>
        <v>ATTN:  RODGER SCHMITT</v>
      </c>
      <c r="F353" t="s">
        <v>0</v>
      </c>
      <c r="G353" t="str">
        <f>T("WASINGTON")</f>
        <v>WASINGTON</v>
      </c>
      <c r="H353" t="str">
        <f t="shared" si="79"/>
        <v>DC </v>
      </c>
      <c r="I353" s="1">
        <f t="shared" si="80"/>
        <v>20240</v>
      </c>
      <c r="J353" s="1">
        <f>N(2024527738)</f>
        <v>2024527738</v>
      </c>
      <c r="K353" s="1">
        <f>N(2024527709)</f>
        <v>2024527709</v>
      </c>
    </row>
    <row r="354" spans="1:11" ht="12.75">
      <c r="A354" s="1" t="s">
        <v>11</v>
      </c>
      <c r="B354" t="str">
        <f>T("WO310 FLUID MINERALS")</f>
        <v>WO310 FLUID MINERALS</v>
      </c>
      <c r="C354" t="str">
        <f>T("USDI  BLM  WO 310 ")</f>
        <v>USDI  BLM  WO 310 </v>
      </c>
      <c r="D354" t="str">
        <f>T("1849 C STREET  NW  ROOM 501LS ")</f>
        <v>1849 C STREET  NW  ROOM 501LS </v>
      </c>
      <c r="E354" t="str">
        <f>T("ATTN:  DELBERT FORTNER")</f>
        <v>ATTN:  DELBERT FORTNER</v>
      </c>
      <c r="F354" t="s">
        <v>0</v>
      </c>
      <c r="G354" t="str">
        <f aca="true" t="shared" si="81" ref="G354:G366">T("WASHINGTON")</f>
        <v>WASHINGTON</v>
      </c>
      <c r="H354" t="str">
        <f t="shared" si="79"/>
        <v>DC </v>
      </c>
      <c r="I354" s="1">
        <f t="shared" si="80"/>
        <v>20240</v>
      </c>
      <c r="J354" s="1">
        <f>N(2024520319)</f>
        <v>2024520319</v>
      </c>
      <c r="K354" s="1">
        <f>N(2024510386)</f>
        <v>2024510386</v>
      </c>
    </row>
    <row r="355" spans="1:11" ht="12.75">
      <c r="A355" s="1" t="s">
        <v>11</v>
      </c>
      <c r="B355" t="str">
        <f>T("WO320 SOLID MINERALS")</f>
        <v>WO320 SOLID MINERALS</v>
      </c>
      <c r="C355" t="str">
        <f>T("USDI  BLM  WO 320 ")</f>
        <v>USDI  BLM  WO 320 </v>
      </c>
      <c r="D355" t="str">
        <f>T("1849 C STREET  NW  ROOM 501LS ")</f>
        <v>1849 C STREET  NW  ROOM 501LS </v>
      </c>
      <c r="E355" t="str">
        <f>T("ATTN:  BRENDA AIRD")</f>
        <v>ATTN:  BRENDA AIRD</v>
      </c>
      <c r="F355" t="s">
        <v>0</v>
      </c>
      <c r="G355" t="str">
        <f t="shared" si="81"/>
        <v>WASHINGTON</v>
      </c>
      <c r="H355" t="str">
        <f t="shared" si="79"/>
        <v>DC </v>
      </c>
      <c r="I355" s="1">
        <f t="shared" si="80"/>
        <v>20240</v>
      </c>
      <c r="J355" s="1">
        <f>N(2024520351)</f>
        <v>2024520351</v>
      </c>
      <c r="K355" s="1">
        <f>N(2026537397)</f>
        <v>2026537397</v>
      </c>
    </row>
    <row r="356" spans="1:11" ht="12.75">
      <c r="A356" s="1" t="s">
        <v>11</v>
      </c>
      <c r="B356" t="str">
        <f>T("WO350 LANDS AND REALTY")</f>
        <v>WO350 LANDS AND REALTY</v>
      </c>
      <c r="C356" t="str">
        <f>T("USDI  BLM  WO 350 ")</f>
        <v>USDI  BLM  WO 350 </v>
      </c>
      <c r="D356" t="str">
        <f>T("1849 C STREET  NW  ROOM 1000LS ")</f>
        <v>1849 C STREET  NW  ROOM 1000LS </v>
      </c>
      <c r="E356" t="str">
        <f>T("ATTN:  RAY BRADY")</f>
        <v>ATTN:  RAY BRADY</v>
      </c>
      <c r="F356" t="s">
        <v>0</v>
      </c>
      <c r="G356" t="str">
        <f t="shared" si="81"/>
        <v>WASHINGTON</v>
      </c>
      <c r="H356" t="str">
        <f t="shared" si="79"/>
        <v>DC </v>
      </c>
      <c r="I356" s="1">
        <f t="shared" si="80"/>
        <v>20240</v>
      </c>
      <c r="J356" s="1">
        <f>N(2024527773)</f>
        <v>2024527773</v>
      </c>
      <c r="K356" s="1">
        <f>N(2024527708)</f>
        <v>2024527708</v>
      </c>
    </row>
    <row r="357" spans="1:11" ht="12.75">
      <c r="A357" s="1" t="s">
        <v>11</v>
      </c>
      <c r="B357" t="str">
        <f>T("WO360 PROTECTION AND RESPONSE")</f>
        <v>WO360 PROTECTION AND RESPONSE</v>
      </c>
      <c r="C357" t="str">
        <f>T("USDI  BLM  WO 360 ")</f>
        <v>USDI  BLM  WO 360 </v>
      </c>
      <c r="D357" t="str">
        <f>T("1849 C STREET  NW  ROOM 501LS ")</f>
        <v>1849 C STREET  NW  ROOM 501LS </v>
      </c>
      <c r="E357" t="str">
        <f>T("ATTN:  BERNIE HYDE")</f>
        <v>ATTN:  BERNIE HYDE</v>
      </c>
      <c r="F357" t="s">
        <v>0</v>
      </c>
      <c r="G357" t="str">
        <f t="shared" si="81"/>
        <v>WASHINGTON</v>
      </c>
      <c r="H357" t="str">
        <f t="shared" si="79"/>
        <v>DC </v>
      </c>
      <c r="I357" s="1">
        <f t="shared" si="80"/>
        <v>20240</v>
      </c>
      <c r="J357" s="1">
        <f>N(2024525058)</f>
        <v>2024525058</v>
      </c>
      <c r="K357" s="1">
        <f>N(2024525046)</f>
        <v>2024525046</v>
      </c>
    </row>
    <row r="358" spans="1:11" ht="12.75">
      <c r="A358" s="1" t="s">
        <v>11</v>
      </c>
      <c r="B358" t="str">
        <f>T("WO580 IT SERVICES")</f>
        <v>WO580 IT SERVICES</v>
      </c>
      <c r="C358" t="str">
        <f>T("USDI  BLM  WO 580 ")</f>
        <v>USDI  BLM  WO 580 </v>
      </c>
      <c r="D358" t="str">
        <f>T("1849 C STREET  NW  ROOM 775LS ")</f>
        <v>1849 C STREET  NW  ROOM 775LS </v>
      </c>
      <c r="E358" t="str">
        <f>T("ATTN:  MATTHEW STEWART")</f>
        <v>ATTN:  MATTHEW STEWART</v>
      </c>
      <c r="F358" t="s">
        <v>0</v>
      </c>
      <c r="G358" t="str">
        <f t="shared" si="81"/>
        <v>WASHINGTON</v>
      </c>
      <c r="H358" t="str">
        <f t="shared" si="79"/>
        <v>DC </v>
      </c>
      <c r="I358" s="1">
        <f t="shared" si="80"/>
        <v>20240</v>
      </c>
      <c r="J358" s="1">
        <f>N(2024520310)</f>
        <v>2024520310</v>
      </c>
      <c r="K358" s="1">
        <f>N(2024520322)</f>
        <v>2024520322</v>
      </c>
    </row>
    <row r="359" spans="1:11" ht="12.75">
      <c r="A359" s="1" t="s">
        <v>11</v>
      </c>
      <c r="B359" t="str">
        <f>T("WO610 PUBLIC AFFAIRS")</f>
        <v>WO610 PUBLIC AFFAIRS</v>
      </c>
      <c r="C359" t="str">
        <f>T("USDI  BLM  WO 610 ")</f>
        <v>USDI  BLM  WO 610 </v>
      </c>
      <c r="D359" t="str">
        <f>T("1849 C STREET  NW  ROOM 406LS ")</f>
        <v>1849 C STREET  NW  ROOM 406LS </v>
      </c>
      <c r="E359" t="str">
        <f>T("ATTN:  CELIA BODDINGTON")</f>
        <v>ATTN:  CELIA BODDINGTON</v>
      </c>
      <c r="F359" t="s">
        <v>0</v>
      </c>
      <c r="G359" t="str">
        <f t="shared" si="81"/>
        <v>WASHINGTON</v>
      </c>
      <c r="H359" t="str">
        <f t="shared" si="79"/>
        <v>DC </v>
      </c>
      <c r="I359" s="1">
        <f t="shared" si="80"/>
        <v>20240</v>
      </c>
      <c r="J359" s="1">
        <f>N(2024525128)</f>
        <v>2024525128</v>
      </c>
      <c r="K359" s="1">
        <f>N(2024525124)</f>
        <v>2024525124</v>
      </c>
    </row>
    <row r="360" spans="1:11" ht="12.75">
      <c r="A360" s="1" t="s">
        <v>11</v>
      </c>
      <c r="B360" t="str">
        <f>T("WO620 LEGISLATIVE AFFAIRS")</f>
        <v>WO620 LEGISLATIVE AFFAIRS</v>
      </c>
      <c r="C360" t="str">
        <f>T("USDI  BLM  WO 620 ")</f>
        <v>USDI  BLM  WO 620 </v>
      </c>
      <c r="D360" t="str">
        <f>T("1849 C ST NW  MS 401")</f>
        <v>1849 C ST NW  MS 401</v>
      </c>
      <c r="E360" t="str">
        <f>T("ATTN:  NANCY SMITH")</f>
        <v>ATTN:  NANCY SMITH</v>
      </c>
      <c r="F360" t="s">
        <v>0</v>
      </c>
      <c r="G360" t="str">
        <f t="shared" si="81"/>
        <v>WASHINGTON</v>
      </c>
      <c r="H360" t="str">
        <f t="shared" si="79"/>
        <v>DC </v>
      </c>
      <c r="I360" s="1">
        <f t="shared" si="80"/>
        <v>20240</v>
      </c>
      <c r="J360" s="1">
        <f>N(2024525010)</f>
        <v>2024525010</v>
      </c>
      <c r="K360" s="1">
        <f>N(2024520346)</f>
        <v>2024520346</v>
      </c>
    </row>
    <row r="361" spans="1:11" ht="12.75">
      <c r="A361" s="1" t="s">
        <v>11</v>
      </c>
      <c r="B361" t="str">
        <f>T("WO630 REGULATORY AFFAIRS")</f>
        <v>WO630 REGULATORY AFFAIRS</v>
      </c>
      <c r="C361" t="str">
        <f>T("USDI  BLM  WO 630 ")</f>
        <v>USDI  BLM  WO 630 </v>
      </c>
      <c r="D361" t="str">
        <f>T("1849 C STREET  ROOM 401LS ")</f>
        <v>1849 C STREET  ROOM 401LS </v>
      </c>
      <c r="E361" t="str">
        <f>T("ATTN:  MICHAEL SCHWARTZ")</f>
        <v>ATTN:  MICHAEL SCHWARTZ</v>
      </c>
      <c r="F361" t="s">
        <v>0</v>
      </c>
      <c r="G361" t="str">
        <f t="shared" si="81"/>
        <v>WASHINGTON</v>
      </c>
      <c r="H361" t="str">
        <f t="shared" si="79"/>
        <v>DC </v>
      </c>
      <c r="I361" s="1">
        <f t="shared" si="80"/>
        <v>20240</v>
      </c>
      <c r="J361" s="1">
        <f>N(2024525030)</f>
        <v>2024525030</v>
      </c>
      <c r="K361" s="1">
        <f>N(2026535287)</f>
        <v>2026535287</v>
      </c>
    </row>
    <row r="362" spans="1:11" ht="12.75">
      <c r="A362" s="1" t="s">
        <v>11</v>
      </c>
      <c r="B362" t="str">
        <f>T("WO650 ENVIRONMNTL EDUC AND VOL")</f>
        <v>WO650 ENVIRONMNTL EDUC AND VOL</v>
      </c>
      <c r="C362" t="str">
        <f>T("USDI  BLM  WO 650 ")</f>
        <v>USDI  BLM  WO 650 </v>
      </c>
      <c r="D362" t="str">
        <f>T("1849 C STREET  NW  ROOM 406LS ")</f>
        <v>1849 C STREET  NW  ROOM 406LS </v>
      </c>
      <c r="E362" t="str">
        <f>T("ATTN:  MARY TISDALE")</f>
        <v>ATTN:  MARY TISDALE</v>
      </c>
      <c r="F362" t="s">
        <v>0</v>
      </c>
      <c r="G362" t="str">
        <f t="shared" si="81"/>
        <v>WASHINGTON</v>
      </c>
      <c r="H362" t="str">
        <f t="shared" si="79"/>
        <v>DC </v>
      </c>
      <c r="I362" s="1">
        <f t="shared" si="80"/>
        <v>20240</v>
      </c>
      <c r="J362" s="1">
        <f>N(2024520365)</f>
        <v>2024520365</v>
      </c>
      <c r="K362" s="1">
        <f>N(2024525199)</f>
        <v>2024525199</v>
      </c>
    </row>
    <row r="363" spans="1:11" ht="12.75">
      <c r="A363" s="1" t="s">
        <v>11</v>
      </c>
      <c r="B363" t="str">
        <f>T("WO720 EQL EMPLMNT OPPTNTY")</f>
        <v>WO720 EQL EMPLMNT OPPTNTY</v>
      </c>
      <c r="C363" t="str">
        <f>T("USDI  BLM  WO 720 ")</f>
        <v>USDI  BLM  WO 720 </v>
      </c>
      <c r="D363" t="str">
        <f>T("1849 C STREET  NW  ROOM 5543 ")</f>
        <v>1849 C STREET  NW  ROOM 5543 </v>
      </c>
      <c r="E363" t="str">
        <f>T("ATTN:  GLORIA INNISS")</f>
        <v>ATTN:  GLORIA INNISS</v>
      </c>
      <c r="F363" t="s">
        <v>0</v>
      </c>
      <c r="G363" t="str">
        <f t="shared" si="81"/>
        <v>WASHINGTON</v>
      </c>
      <c r="H363" t="str">
        <f t="shared" si="79"/>
        <v>DC </v>
      </c>
      <c r="I363" s="1">
        <f t="shared" si="80"/>
        <v>20240</v>
      </c>
      <c r="J363" s="1">
        <f>N(2022086736)</f>
        <v>2022086736</v>
      </c>
      <c r="K363" s="1">
        <f>N(2022086893)</f>
        <v>2022086893</v>
      </c>
    </row>
    <row r="364" spans="1:11" ht="12.75">
      <c r="A364" s="1" t="s">
        <v>11</v>
      </c>
      <c r="B364" t="str">
        <f>T("WO830 MNGMNT SYSTEMS")</f>
        <v>WO830 MNGMNT SYSTEMS</v>
      </c>
      <c r="C364" t="str">
        <f>T("USDI  BLM  WO 830  ")</f>
        <v>USDI  BLM  WO 830  </v>
      </c>
      <c r="D364" t="str">
        <f>T("1849 C STREET NW  ROOM 1000LS ")</f>
        <v>1849 C STREET NW  ROOM 1000LS </v>
      </c>
      <c r="E364" t="str">
        <f>T("ATTN:  JANINE VELASCO")</f>
        <v>ATTN:  JANINE VELASCO</v>
      </c>
      <c r="F364" t="s">
        <v>0</v>
      </c>
      <c r="G364" t="str">
        <f t="shared" si="81"/>
        <v>WASHINGTON</v>
      </c>
      <c r="H364" t="str">
        <f t="shared" si="79"/>
        <v>DC </v>
      </c>
      <c r="I364" s="1">
        <f t="shared" si="80"/>
        <v>20240</v>
      </c>
      <c r="J364" s="1">
        <f>N(2024520391)</f>
        <v>2024520391</v>
      </c>
      <c r="K364" s="1">
        <f>N(2024525171)</f>
        <v>2024525171</v>
      </c>
    </row>
    <row r="365" spans="1:11" ht="12.75">
      <c r="A365" s="1" t="s">
        <v>11</v>
      </c>
      <c r="B365" t="str">
        <f>T("WO850 PRPTY ACQSTN AND HDQTRS")</f>
        <v>WO850 PRPTY ACQSTN AND HDQTRS</v>
      </c>
      <c r="C365" t="str">
        <f>T("USDI  BLM  WO 850 ")</f>
        <v>USDI  BLM  WO 850 </v>
      </c>
      <c r="D365" t="str">
        <f>T("1849 C STREET  NW  ROOM 1075LS ")</f>
        <v>1849 C STREET  NW  ROOM 1075LS </v>
      </c>
      <c r="E365" t="str">
        <f>T("ATTN:  JOSEPH FEDERLINE")</f>
        <v>ATTN:  JOSEPH FEDERLINE</v>
      </c>
      <c r="F365" t="s">
        <v>0</v>
      </c>
      <c r="G365" t="str">
        <f t="shared" si="81"/>
        <v>WASHINGTON</v>
      </c>
      <c r="H365" t="str">
        <f t="shared" si="79"/>
        <v>DC </v>
      </c>
      <c r="I365" s="1">
        <f t="shared" si="80"/>
        <v>20240</v>
      </c>
      <c r="J365" s="1">
        <f>N(2024525180)</f>
        <v>2024525180</v>
      </c>
      <c r="K365" s="1">
        <f>N(2024525141)</f>
        <v>2024525141</v>
      </c>
    </row>
    <row r="366" spans="1:11" ht="12.75">
      <c r="A366" s="1" t="s">
        <v>11</v>
      </c>
      <c r="B366" t="str">
        <f>T("WO880 BUDGET")</f>
        <v>WO880 BUDGET</v>
      </c>
      <c r="C366" t="str">
        <f>T("USDI  BLM  WO 880 ")</f>
        <v>USDI  BLM  WO 880 </v>
      </c>
      <c r="D366" t="str">
        <f>T("1849 C STREET  NW  ROOM 1025LS ")</f>
        <v>1849 C STREET  NW  ROOM 1025LS </v>
      </c>
      <c r="E366" t="str">
        <f>T("ATTN:  LARRY BENNA")</f>
        <v>ATTN:  LARRY BENNA</v>
      </c>
      <c r="F366" t="s">
        <v>0</v>
      </c>
      <c r="G366" t="str">
        <f t="shared" si="81"/>
        <v>WASHINGTON</v>
      </c>
      <c r="H366" t="str">
        <f t="shared" si="79"/>
        <v>DC </v>
      </c>
      <c r="I366" s="1">
        <f t="shared" si="80"/>
        <v>20240</v>
      </c>
      <c r="J366" s="1">
        <f>N(2024527700)</f>
        <v>2024527700</v>
      </c>
      <c r="K366" s="1">
        <f>N(2024520323)</f>
        <v>2024520323</v>
      </c>
    </row>
    <row r="367" spans="1:11" ht="12.75">
      <c r="A367" s="1" t="s">
        <v>11</v>
      </c>
      <c r="B367" t="str">
        <f>T("AZ600 IRONWOOD FRST NATL MNMT")</f>
        <v>AZ600 IRONWOOD FRST NATL MNMT</v>
      </c>
      <c r="C367" t="str">
        <f>T("NBC DENVER FEDERAL CENTER")</f>
        <v>NBC DENVER FEDERAL CENTER</v>
      </c>
      <c r="D367" t="str">
        <f>T("BLDG 50 BC 650")</f>
        <v>BLDG 50 BC 650</v>
      </c>
      <c r="E367" t="str">
        <f>T("ATTN:  ANDREA HUELSENBECK")</f>
        <v>ATTN:  ANDREA HUELSENBECK</v>
      </c>
      <c r="F367" t="s">
        <v>0</v>
      </c>
      <c r="G367" t="str">
        <f>T("PHOENIX")</f>
        <v>PHOENIX</v>
      </c>
      <c r="H367" t="str">
        <f>T("AZ ")</f>
        <v>AZ </v>
      </c>
      <c r="I367" s="1">
        <f>N(850042203)</f>
        <v>850042203</v>
      </c>
      <c r="J367" s="1">
        <f>N(6024179266)</f>
        <v>6024179266</v>
      </c>
      <c r="K367" s="1">
        <f>N(6024179462)</f>
        <v>6024179462</v>
      </c>
    </row>
    <row r="368" spans="1:11" ht="12.75">
      <c r="A368" s="1" t="s">
        <v>11</v>
      </c>
      <c r="B368" t="str">
        <f>T("CA338 KING RANGE NATL CONV ARE")</f>
        <v>CA338 KING RANGE NATL CONV ARE</v>
      </c>
      <c r="C368" t="str">
        <f>T("BUREAU OF LAND MANAGEMENT")</f>
        <v>BUREAU OF LAND MANAGEMENT</v>
      </c>
      <c r="D368" t="str">
        <f>T("1695 HEINDON ROAD")</f>
        <v>1695 HEINDON ROAD</v>
      </c>
      <c r="E368" t="s">
        <v>0</v>
      </c>
      <c r="F368" t="s">
        <v>0</v>
      </c>
      <c r="G368" t="str">
        <f>T("ARCATA")</f>
        <v>ARCATA</v>
      </c>
      <c r="H368" t="str">
        <f>T("CA ")</f>
        <v>CA </v>
      </c>
      <c r="I368" s="1">
        <f>N(95521)</f>
        <v>95521</v>
      </c>
      <c r="J368" s="1">
        <f>N(7078252300)</f>
        <v>7078252300</v>
      </c>
      <c r="K368" s="1">
        <f>N(7078252301)</f>
        <v>7078252301</v>
      </c>
    </row>
    <row r="369" spans="1:11" ht="12.75">
      <c r="A369" s="1" t="s">
        <v>11</v>
      </c>
      <c r="B369" t="str">
        <f>T("CA339 HEADWARTERS FRST RSRV")</f>
        <v>CA339 HEADWARTERS FRST RSRV</v>
      </c>
      <c r="C369" t="str">
        <f>T("BUREAU OF LAND MANAGEMENT")</f>
        <v>BUREAU OF LAND MANAGEMENT</v>
      </c>
      <c r="D369" t="str">
        <f>T("1695 HEINDON ROAD")</f>
        <v>1695 HEINDON ROAD</v>
      </c>
      <c r="E369" t="s">
        <v>0</v>
      </c>
      <c r="F369" t="s">
        <v>0</v>
      </c>
      <c r="G369" t="str">
        <f>T("ARCATA")</f>
        <v>ARCATA</v>
      </c>
      <c r="H369" t="str">
        <f>T("CA ")</f>
        <v>CA </v>
      </c>
      <c r="I369" s="1">
        <f>N(95521)</f>
        <v>95521</v>
      </c>
      <c r="J369" s="1">
        <f>N(7078252300)</f>
        <v>7078252300</v>
      </c>
      <c r="K369" s="1">
        <f>N(7078252301)</f>
        <v>7078252301</v>
      </c>
    </row>
    <row r="370" spans="1:11" ht="12.75">
      <c r="A370" s="1" t="s">
        <v>11</v>
      </c>
      <c r="B370" t="str">
        <f>T("CA939 CALIFORNIA CSTL NATL MON")</f>
        <v>CA939 CALIFORNIA CSTL NATL MON</v>
      </c>
      <c r="C370" t="str">
        <f>T("BUREAU OF LAND MANAGEMENT")</f>
        <v>BUREAU OF LAND MANAGEMENT</v>
      </c>
      <c r="D370" t="str">
        <f>T("2800 COTTAGE WAY  RM W 1834")</f>
        <v>2800 COTTAGE WAY  RM W 1834</v>
      </c>
      <c r="E370" t="s">
        <v>0</v>
      </c>
      <c r="F370" t="s">
        <v>0</v>
      </c>
      <c r="G370" t="str">
        <f>T("SACRAMENTO")</f>
        <v>SACRAMENTO</v>
      </c>
      <c r="H370" t="str">
        <f>T("CA ")</f>
        <v>CA </v>
      </c>
      <c r="I370" s="1">
        <f>N(95825)</f>
        <v>95825</v>
      </c>
      <c r="J370" s="1">
        <f>N(9169784630)</f>
        <v>9169784630</v>
      </c>
      <c r="K370" s="1">
        <f>N(9169784657)</f>
        <v>9169784657</v>
      </c>
    </row>
    <row r="371" spans="1:11" ht="12.75">
      <c r="A371" s="1" t="s">
        <v>11</v>
      </c>
      <c r="B371" t="str">
        <f>T("CO154 GUNNISON GORGE NATL CON")</f>
        <v>CO154 GUNNISON GORGE NATL CON</v>
      </c>
      <c r="C371" t="str">
        <f>T("2505 SOUTH TOWNSEND")</f>
        <v>2505 SOUTH TOWNSEND</v>
      </c>
      <c r="D371" t="str">
        <f>T("ATTN: FRANK GUTIERREZ")</f>
        <v>ATTN: FRANK GUTIERREZ</v>
      </c>
      <c r="E371" t="s">
        <v>0</v>
      </c>
      <c r="F371" t="s">
        <v>0</v>
      </c>
      <c r="G371" t="str">
        <f>T("MONTROSE")</f>
        <v>MONTROSE</v>
      </c>
      <c r="H371" t="str">
        <f>T("CO ")</f>
        <v>CO </v>
      </c>
      <c r="I371" s="1">
        <f>N(81401)</f>
        <v>81401</v>
      </c>
      <c r="J371" s="1">
        <f>N(9702405300)</f>
        <v>9702405300</v>
      </c>
      <c r="K371" s="1">
        <f>N(9702405367)</f>
        <v>9702405367</v>
      </c>
    </row>
    <row r="372" spans="1:11" ht="12.75">
      <c r="A372" s="1" t="s">
        <v>11</v>
      </c>
      <c r="B372" t="str">
        <f>T("NV058 RED ROCK NATL CONS AREA")</f>
        <v>NV058 RED ROCK NATL CONS AREA</v>
      </c>
      <c r="C372" t="str">
        <f>T("4701 N. TORREY PINES DR.")</f>
        <v>4701 N. TORREY PINES DR.</v>
      </c>
      <c r="D372" t="str">
        <f>T("ATTN: MIKE BAIRD")</f>
        <v>ATTN: MIKE BAIRD</v>
      </c>
      <c r="E372" t="s">
        <v>0</v>
      </c>
      <c r="F372" t="s">
        <v>0</v>
      </c>
      <c r="G372" t="str">
        <f>T("LAS VEGAS")</f>
        <v>LAS VEGAS</v>
      </c>
      <c r="H372" t="str">
        <f>T("NV ")</f>
        <v>NV </v>
      </c>
      <c r="I372" s="1">
        <f>N(89130)</f>
        <v>89130</v>
      </c>
      <c r="J372" s="1">
        <f>N(7025155000)</f>
        <v>7025155000</v>
      </c>
      <c r="K372" s="1">
        <f>N(7025155023)</f>
        <v>7025155023</v>
      </c>
    </row>
    <row r="373" spans="1:11" ht="12.75">
      <c r="A373" s="1" t="s">
        <v>11</v>
      </c>
      <c r="B373" t="str">
        <f>T("WO170 OFFICE OF NATL LNDSCP CO")</f>
        <v>WO170 OFFICE OF NATL LNDSCP CO</v>
      </c>
      <c r="C373" t="str">
        <f aca="true" t="shared" si="82" ref="C373:C383">T("BUREAU OF LAND MANAGEMENT")</f>
        <v>BUREAU OF LAND MANAGEMENT</v>
      </c>
      <c r="D373" t="str">
        <f>T("1849 C STREET  NW  ROOM5635 ")</f>
        <v>1849 C STREET  NW  ROOM5635 </v>
      </c>
      <c r="E373" t="str">
        <f>T("ATTN: ELAINE MARQUIS BRONG")</f>
        <v>ATTN: ELAINE MARQUIS BRONG</v>
      </c>
      <c r="F373" t="s">
        <v>0</v>
      </c>
      <c r="G373" t="str">
        <f aca="true" t="shared" si="83" ref="G373:G384">T("WASHINGTON")</f>
        <v>WASHINGTON</v>
      </c>
      <c r="H373" t="str">
        <f aca="true" t="shared" si="84" ref="H373:H384">T("DC ")</f>
        <v>DC </v>
      </c>
      <c r="I373" s="1">
        <f aca="true" t="shared" si="85" ref="I373:I384">N(20240)</f>
        <v>20240</v>
      </c>
      <c r="J373" s="1">
        <f>N(2022083516)</f>
        <v>2022083516</v>
      </c>
      <c r="K373" s="1">
        <f>N(2026532154)</f>
        <v>2026532154</v>
      </c>
    </row>
    <row r="374" spans="1:11" ht="12.75">
      <c r="A374" s="1" t="s">
        <v>11</v>
      </c>
      <c r="B374" t="str">
        <f>T("WO171 NATL MONUMNTS &amp; NATL CNS")</f>
        <v>WO171 NATL MONUMNTS &amp; NATL CNS</v>
      </c>
      <c r="C374" t="str">
        <f t="shared" si="82"/>
        <v>BUREAU OF LAND MANAGEMENT</v>
      </c>
      <c r="D374" t="str">
        <f>T("1849 C STREET  NW  ROOM 302LS ")</f>
        <v>1849 C STREET  NW  ROOM 302LS </v>
      </c>
      <c r="E374" t="str">
        <f>T("ATTN: JESSIE JUEN")</f>
        <v>ATTN: JESSIE JUEN</v>
      </c>
      <c r="F374" t="s">
        <v>0</v>
      </c>
      <c r="G374" t="str">
        <f t="shared" si="83"/>
        <v>WASHINGTON</v>
      </c>
      <c r="H374" t="str">
        <f t="shared" si="84"/>
        <v>DC </v>
      </c>
      <c r="I374" s="1">
        <f t="shared" si="85"/>
        <v>20240</v>
      </c>
      <c r="J374" s="1">
        <f>N(2024525077)</f>
        <v>2024525077</v>
      </c>
      <c r="K374" s="1">
        <f>N(2026532154)</f>
        <v>2026532154</v>
      </c>
    </row>
    <row r="375" spans="1:11" ht="12.75">
      <c r="A375" s="1" t="s">
        <v>11</v>
      </c>
      <c r="B375" t="str">
        <f>T("WO210 PLNNG ACCSS AND COMM SPT")</f>
        <v>WO210 PLNNG ACCSS AND COMM SPT</v>
      </c>
      <c r="C375" t="str">
        <f t="shared" si="82"/>
        <v>BUREAU OF LAND MANAGEMENT</v>
      </c>
      <c r="D375" t="str">
        <f>T("1849 C STREET  NW  ROOM 1050LS ")</f>
        <v>1849 C STREET  NW  ROOM 1050LS </v>
      </c>
      <c r="E375" t="str">
        <f>T("ATTN:  ANN AULDRICH")</f>
        <v>ATTN:  ANN AULDRICH</v>
      </c>
      <c r="F375" t="s">
        <v>0</v>
      </c>
      <c r="G375" t="str">
        <f t="shared" si="83"/>
        <v>WASHINGTON</v>
      </c>
      <c r="H375" t="str">
        <f t="shared" si="84"/>
        <v>DC </v>
      </c>
      <c r="I375" s="1">
        <f t="shared" si="85"/>
        <v>20240</v>
      </c>
      <c r="J375" s="1">
        <f>N(2024527722)</f>
        <v>2024527722</v>
      </c>
      <c r="K375" s="1">
        <f>N(2024525112)</f>
        <v>2024525112</v>
      </c>
    </row>
    <row r="376" spans="1:11" ht="12.75">
      <c r="A376" s="1" t="s">
        <v>11</v>
      </c>
      <c r="B376" t="str">
        <f>T("WO230 FSH WLDLF &amp; BOTANY GRP")</f>
        <v>WO230 FSH WLDLF &amp; BOTANY GRP</v>
      </c>
      <c r="C376" t="str">
        <f t="shared" si="82"/>
        <v>BUREAU OF LAND MANAGEMENT</v>
      </c>
      <c r="D376" t="str">
        <f>T("1840 C STREET  NW  ROOM 204LS ")</f>
        <v>1840 C STREET  NW  ROOM 204LS </v>
      </c>
      <c r="E376" t="str">
        <f>T("ATTN:  CHRIS JAUHOLA")</f>
        <v>ATTN:  CHRIS JAUHOLA</v>
      </c>
      <c r="F376" t="s">
        <v>0</v>
      </c>
      <c r="G376" t="str">
        <f t="shared" si="83"/>
        <v>WASHINGTON</v>
      </c>
      <c r="H376" t="str">
        <f t="shared" si="84"/>
        <v>DC </v>
      </c>
      <c r="I376" s="1">
        <f t="shared" si="85"/>
        <v>20240</v>
      </c>
      <c r="J376" s="1">
        <f>N(2024527761)</f>
        <v>2024527761</v>
      </c>
      <c r="K376" s="1">
        <f>N(2024527702)</f>
        <v>2024527702</v>
      </c>
    </row>
    <row r="377" spans="1:11" ht="12.75">
      <c r="A377" s="1" t="s">
        <v>11</v>
      </c>
      <c r="B377" t="str">
        <f>T("WO240 CLTRL HRTG WILDERNESS")</f>
        <v>WO240 CLTRL HRTG WILDERNESS</v>
      </c>
      <c r="C377" t="str">
        <f t="shared" si="82"/>
        <v>BUREAU OF LAND MANAGEMENT</v>
      </c>
      <c r="D377" t="str">
        <f>T("1849 C SREET  NW  ROOM 204LS ")</f>
        <v>1849 C SREET  NW  ROOM 204LS </v>
      </c>
      <c r="E377" t="str">
        <f>T("ATTN:  MARILYN NICKELS")</f>
        <v>ATTN:  MARILYN NICKELS</v>
      </c>
      <c r="F377" t="s">
        <v>0</v>
      </c>
      <c r="G377" t="str">
        <f t="shared" si="83"/>
        <v>WASHINGTON</v>
      </c>
      <c r="H377" t="str">
        <f t="shared" si="84"/>
        <v>DC </v>
      </c>
      <c r="I377" s="1">
        <f t="shared" si="85"/>
        <v>20240</v>
      </c>
      <c r="J377" s="1">
        <f>N(2024520330)</f>
        <v>2024520330</v>
      </c>
      <c r="K377" s="1">
        <f>N(2024527701)</f>
        <v>2024527701</v>
      </c>
    </row>
    <row r="378" spans="1:11" ht="12.75">
      <c r="A378" s="1" t="s">
        <v>11</v>
      </c>
      <c r="B378" t="str">
        <f>T("WO250 RECREATION")</f>
        <v>WO250 RECREATION</v>
      </c>
      <c r="C378" t="str">
        <f t="shared" si="82"/>
        <v>BUREAU OF LAND MANAGEMENT</v>
      </c>
      <c r="D378" t="str">
        <f>T("1849 C STREET  NW  ROOM 204LS ")</f>
        <v>1849 C STREET  NW  ROOM 204LS </v>
      </c>
      <c r="E378" t="str">
        <f>T("ATTN:  ROGER SCHMITT")</f>
        <v>ATTN:  ROGER SCHMITT</v>
      </c>
      <c r="F378" t="s">
        <v>0</v>
      </c>
      <c r="G378" t="str">
        <f t="shared" si="83"/>
        <v>WASHINGTON</v>
      </c>
      <c r="H378" t="str">
        <f t="shared" si="84"/>
        <v>DC </v>
      </c>
      <c r="I378" s="1">
        <f t="shared" si="85"/>
        <v>20240</v>
      </c>
      <c r="J378" s="1">
        <f>N(2024527738)</f>
        <v>2024527738</v>
      </c>
      <c r="K378" s="1">
        <f>N(2024527709)</f>
        <v>2024527709</v>
      </c>
    </row>
    <row r="379" spans="1:11" ht="12.75">
      <c r="A379" s="1" t="s">
        <v>11</v>
      </c>
      <c r="B379" t="str">
        <f>T("WO310 FLUID MINERALS")</f>
        <v>WO310 FLUID MINERALS</v>
      </c>
      <c r="C379" t="str">
        <f t="shared" si="82"/>
        <v>BUREAU OF LAND MANAGEMENT</v>
      </c>
      <c r="D379" t="str">
        <f>T("1849 C STREET  NW  ROOM 501LS ")</f>
        <v>1849 C STREET  NW  ROOM 501LS </v>
      </c>
      <c r="E379" t="str">
        <f>T("ATTN:  KERMIT WITHERBEE")</f>
        <v>ATTN:  KERMIT WITHERBEE</v>
      </c>
      <c r="F379" t="s">
        <v>0</v>
      </c>
      <c r="G379" t="str">
        <f t="shared" si="83"/>
        <v>WASHINGTON</v>
      </c>
      <c r="H379" t="str">
        <f t="shared" si="84"/>
        <v>DC </v>
      </c>
      <c r="I379" s="1">
        <f t="shared" si="85"/>
        <v>20240</v>
      </c>
      <c r="J379" s="1">
        <f>N(2024520340)</f>
        <v>2024520340</v>
      </c>
      <c r="K379" s="1">
        <f>N(2024520386)</f>
        <v>2024520386</v>
      </c>
    </row>
    <row r="380" spans="1:11" ht="12.75">
      <c r="A380" s="1" t="s">
        <v>11</v>
      </c>
      <c r="B380" t="str">
        <f>T("WO320 SOLID MINERALS")</f>
        <v>WO320 SOLID MINERALS</v>
      </c>
      <c r="C380" t="str">
        <f t="shared" si="82"/>
        <v>BUREAU OF LAND MANAGEMENT</v>
      </c>
      <c r="D380" t="str">
        <f>T("1849 C STREET  NW ROOM 501LS ")</f>
        <v>1849 C STREET  NW ROOM 501LS </v>
      </c>
      <c r="E380" t="str">
        <f>T("ATTN:  BRENDA AIRD")</f>
        <v>ATTN:  BRENDA AIRD</v>
      </c>
      <c r="F380" t="s">
        <v>0</v>
      </c>
      <c r="G380" t="str">
        <f t="shared" si="83"/>
        <v>WASHINGTON</v>
      </c>
      <c r="H380" t="str">
        <f t="shared" si="84"/>
        <v>DC </v>
      </c>
      <c r="I380" s="1">
        <f t="shared" si="85"/>
        <v>20240</v>
      </c>
      <c r="J380" s="1">
        <f>N(2024520351)</f>
        <v>2024520351</v>
      </c>
      <c r="K380" s="1">
        <f>N(2026537397)</f>
        <v>2026537397</v>
      </c>
    </row>
    <row r="381" spans="1:11" ht="12.75">
      <c r="A381" s="1" t="s">
        <v>11</v>
      </c>
      <c r="B381" t="str">
        <f>T("WO360 PROTECTION AND RESPONSE")</f>
        <v>WO360 PROTECTION AND RESPONSE</v>
      </c>
      <c r="C381" t="str">
        <f t="shared" si="82"/>
        <v>BUREAU OF LAND MANAGEMENT</v>
      </c>
      <c r="D381" t="str">
        <f>T("1849 C STREET  NW  ROOM 504LS ")</f>
        <v>1849 C STREET  NW  ROOM 504LS </v>
      </c>
      <c r="E381" t="str">
        <f>T("ATTN:  BERNIE HYDE")</f>
        <v>ATTN:  BERNIE HYDE</v>
      </c>
      <c r="F381" t="s">
        <v>0</v>
      </c>
      <c r="G381" t="str">
        <f t="shared" si="83"/>
        <v>WASHINGTON</v>
      </c>
      <c r="H381" t="str">
        <f t="shared" si="84"/>
        <v>DC </v>
      </c>
      <c r="I381" s="1">
        <f t="shared" si="85"/>
        <v>20240</v>
      </c>
      <c r="J381" s="1">
        <f>N(2024525058)</f>
        <v>2024525058</v>
      </c>
      <c r="K381" s="1">
        <f>N(2024525046)</f>
        <v>2024525046</v>
      </c>
    </row>
    <row r="382" spans="1:11" ht="12.75">
      <c r="A382" s="1" t="s">
        <v>11</v>
      </c>
      <c r="B382" t="str">
        <f>T("WO830 MANAGEMENT SYSTEMS")</f>
        <v>WO830 MANAGEMENT SYSTEMS</v>
      </c>
      <c r="C382" t="str">
        <f t="shared" si="82"/>
        <v>BUREAU OF LAND MANAGEMENT</v>
      </c>
      <c r="D382" t="str">
        <f>T("1849 C STREET  NW  ROOM 1000LS ")</f>
        <v>1849 C STREET  NW  ROOM 1000LS </v>
      </c>
      <c r="E382" t="str">
        <f>T("ATTN:  JANINE VALASCO")</f>
        <v>ATTN:  JANINE VALASCO</v>
      </c>
      <c r="F382" t="s">
        <v>0</v>
      </c>
      <c r="G382" t="str">
        <f t="shared" si="83"/>
        <v>WASHINGTON</v>
      </c>
      <c r="H382" t="str">
        <f t="shared" si="84"/>
        <v>DC </v>
      </c>
      <c r="I382" s="1">
        <f t="shared" si="85"/>
        <v>20240</v>
      </c>
      <c r="J382" s="1">
        <f>N(2024520391)</f>
        <v>2024520391</v>
      </c>
      <c r="K382" s="1">
        <f>N(2024525171)</f>
        <v>2024525171</v>
      </c>
    </row>
    <row r="383" spans="1:11" ht="12.75">
      <c r="A383" s="1" t="s">
        <v>11</v>
      </c>
      <c r="B383" t="str">
        <f>T("WO850 PRPTY ACQSTN AND HQTRS S")</f>
        <v>WO850 PRPTY ACQSTN AND HQTRS S</v>
      </c>
      <c r="C383" t="str">
        <f t="shared" si="82"/>
        <v>BUREAU OF LAND MANAGEMENT</v>
      </c>
      <c r="D383" t="str">
        <f>T("1849 C STREET  NW  ROOM 1075LS ")</f>
        <v>1849 C STREET  NW  ROOM 1075LS </v>
      </c>
      <c r="E383" t="str">
        <f>T("ATTN:  JOE FEDERLINE")</f>
        <v>ATTN:  JOE FEDERLINE</v>
      </c>
      <c r="F383" t="s">
        <v>0</v>
      </c>
      <c r="G383" t="str">
        <f t="shared" si="83"/>
        <v>WASHINGTON</v>
      </c>
      <c r="H383" t="str">
        <f t="shared" si="84"/>
        <v>DC </v>
      </c>
      <c r="I383" s="1">
        <f t="shared" si="85"/>
        <v>20240</v>
      </c>
      <c r="J383" s="1">
        <f>N(2024525177)</f>
        <v>2024525177</v>
      </c>
      <c r="K383" s="1">
        <f>N(2024525141)</f>
        <v>2024525141</v>
      </c>
    </row>
    <row r="384" spans="1:11" ht="12.75">
      <c r="A384" s="1" t="s">
        <v>11</v>
      </c>
      <c r="B384" t="str">
        <f>T("US DOI BLM WO-260")</f>
        <v>US DOI BLM WO-260</v>
      </c>
      <c r="C384" t="str">
        <f>T("USDI  BLM  WO 260 ")</f>
        <v>USDI  BLM  WO 260 </v>
      </c>
      <c r="D384" t="str">
        <f>T("1849 C STREET  NW  ROOM 302LS ")</f>
        <v>1849 C STREET  NW  ROOM 302LS </v>
      </c>
      <c r="E384" t="str">
        <f>T("ATTN:  JOHN FEND")</f>
        <v>ATTN:  JOHN FEND</v>
      </c>
      <c r="F384" t="s">
        <v>0</v>
      </c>
      <c r="G384" t="str">
        <f t="shared" si="83"/>
        <v>WASHINGTON</v>
      </c>
      <c r="H384" t="str">
        <f t="shared" si="84"/>
        <v>DC </v>
      </c>
      <c r="I384" s="1">
        <f t="shared" si="85"/>
        <v>20240</v>
      </c>
      <c r="J384" s="1">
        <f>N(2024520379)</f>
        <v>2024520379</v>
      </c>
      <c r="K384" s="1">
        <f>N(2026539084)</f>
        <v>2026539084</v>
      </c>
    </row>
    <row r="385" spans="1:11" ht="12.75">
      <c r="A385" s="1" t="s">
        <v>11</v>
      </c>
      <c r="B385" t="str">
        <f>T("AZ912 OFFICE OF EXT AFFAIRS")</f>
        <v>AZ912 OFFICE OF EXT AFFAIRS</v>
      </c>
      <c r="C385" t="str">
        <f>T("222 N. CENTRAL AVENUE")</f>
        <v>222 N. CENTRAL AVENUE</v>
      </c>
      <c r="D385" t="str">
        <f>T("ATTN:  JANELL REIFEL")</f>
        <v>ATTN:  JANELL REIFEL</v>
      </c>
      <c r="E385" t="s">
        <v>0</v>
      </c>
      <c r="F385" t="s">
        <v>0</v>
      </c>
      <c r="G385" t="str">
        <f>T("PHOENIX")</f>
        <v>PHOENIX</v>
      </c>
      <c r="H385" t="str">
        <f>T("AZ ")</f>
        <v>AZ </v>
      </c>
      <c r="I385" s="1">
        <f>N(850042203)</f>
        <v>850042203</v>
      </c>
      <c r="J385" s="1">
        <f>N(6024179266)</f>
        <v>6024179266</v>
      </c>
      <c r="K385" s="1">
        <f>N(6024179462)</f>
        <v>6024179462</v>
      </c>
    </row>
    <row r="386" spans="1:11" ht="12.75">
      <c r="A386" s="1" t="s">
        <v>11</v>
      </c>
      <c r="B386" t="str">
        <f>T("AZ914 FINANCIAL MGT SVS")</f>
        <v>AZ914 FINANCIAL MGT SVS</v>
      </c>
      <c r="C386" t="str">
        <f>T("222 N. CENTRAL AVENUE")</f>
        <v>222 N. CENTRAL AVENUE</v>
      </c>
      <c r="D386" t="str">
        <f>T("ATTN:  JANELL REIFEL")</f>
        <v>ATTN:  JANELL REIFEL</v>
      </c>
      <c r="E386" t="s">
        <v>0</v>
      </c>
      <c r="F386" t="s">
        <v>0</v>
      </c>
      <c r="G386" t="str">
        <f>T("PHOENIX")</f>
        <v>PHOENIX</v>
      </c>
      <c r="H386" t="str">
        <f>T("AZ ")</f>
        <v>AZ </v>
      </c>
      <c r="I386" s="1">
        <f>N(850042203)</f>
        <v>850042203</v>
      </c>
      <c r="J386" s="1">
        <f>N(6024179266)</f>
        <v>6024179266</v>
      </c>
      <c r="K386" s="1">
        <f>N(6024179462)</f>
        <v>6024179462</v>
      </c>
    </row>
    <row r="387" spans="1:11" ht="12.75">
      <c r="A387" s="1" t="s">
        <v>11</v>
      </c>
      <c r="B387" t="str">
        <f>T("CA169 CARRIZO PLAIN NAT'L MONU")</f>
        <v>CA169 CARRIZO PLAIN NAT'L MONU</v>
      </c>
      <c r="C387" t="str">
        <f>T("BUREAU OF LAND MANAGEMENT")</f>
        <v>BUREAU OF LAND MANAGEMENT</v>
      </c>
      <c r="D387" t="str">
        <f>T("3801 PEGASUS DRIVE")</f>
        <v>3801 PEGASUS DRIVE</v>
      </c>
      <c r="E387" t="s">
        <v>0</v>
      </c>
      <c r="F387" t="s">
        <v>0</v>
      </c>
      <c r="G387" t="str">
        <f>T("BAKERSFIELD")</f>
        <v>BAKERSFIELD</v>
      </c>
      <c r="H387" t="str">
        <f>T("CA ")</f>
        <v>CA </v>
      </c>
      <c r="I387" s="1">
        <f>N(93308)</f>
        <v>93308</v>
      </c>
      <c r="J387" s="1">
        <f>N(6613916000)</f>
        <v>6613916000</v>
      </c>
      <c r="K387" s="1">
        <f>N(6613916040)</f>
        <v>6613916040</v>
      </c>
    </row>
    <row r="388" spans="1:11" ht="12.75">
      <c r="A388" s="1" t="s">
        <v>11</v>
      </c>
      <c r="B388" t="str">
        <f>T("NV025 BLACK ROCK DESERT HIGH")</f>
        <v>NV025 BLACK ROCK DESERT HIGH</v>
      </c>
      <c r="C388" t="str">
        <f>T("5099 WINNEMUCCA BLVD")</f>
        <v>5099 WINNEMUCCA BLVD</v>
      </c>
      <c r="D388" t="s">
        <v>0</v>
      </c>
      <c r="E388" t="s">
        <v>0</v>
      </c>
      <c r="F388" t="s">
        <v>0</v>
      </c>
      <c r="G388" t="str">
        <f>T("WINNEMUCCA")</f>
        <v>WINNEMUCCA</v>
      </c>
      <c r="H388" t="str">
        <f>T("NV ")</f>
        <v>NV </v>
      </c>
      <c r="I388" s="1">
        <f>N(89445)</f>
        <v>89445</v>
      </c>
      <c r="J388" s="1">
        <f>N(0)</f>
        <v>0</v>
      </c>
      <c r="K388" s="1" t="s">
        <v>0</v>
      </c>
    </row>
    <row r="389" spans="1:11" ht="12.75">
      <c r="A389" s="1" t="s">
        <v>11</v>
      </c>
      <c r="B389" t="str">
        <f>T("CA619 DESERT DISTRICT OFFICE")</f>
        <v>CA619 DESERT DISTRICT OFFICE</v>
      </c>
      <c r="C389" t="str">
        <f>T("BUREAU OF LAND MANAGEMENT")</f>
        <v>BUREAU OF LAND MANAGEMENT</v>
      </c>
      <c r="D389" t="str">
        <f>T("6221 BOX SPRINGS BLVD.")</f>
        <v>6221 BOX SPRINGS BLVD.</v>
      </c>
      <c r="E389" t="s">
        <v>0</v>
      </c>
      <c r="F389" t="s">
        <v>0</v>
      </c>
      <c r="G389" t="str">
        <f>T("RIVERSIDE")</f>
        <v>RIVERSIDE</v>
      </c>
      <c r="H389" t="str">
        <f>T("CA ")</f>
        <v>CA </v>
      </c>
      <c r="I389" s="1">
        <f>N(92507)</f>
        <v>92507</v>
      </c>
      <c r="J389" s="1">
        <f>N(9096975200)</f>
        <v>9096975200</v>
      </c>
      <c r="K389" s="1">
        <f>N(9096975299)</f>
        <v>9096975299</v>
      </c>
    </row>
    <row r="390" spans="1:11" ht="12.75">
      <c r="A390" s="1" t="s">
        <v>11</v>
      </c>
      <c r="B390" t="str">
        <f>T("NV025 BLACK ROCK DESERT HIGH")</f>
        <v>NV025 BLACK ROCK DESERT HIGH</v>
      </c>
      <c r="C390" t="str">
        <f>T("5100 E. WINNEMUCCA BLVD")</f>
        <v>5100 E. WINNEMUCCA BLVD</v>
      </c>
      <c r="D390" t="str">
        <f>T("ATTN: LINDA TWOMBLY")</f>
        <v>ATTN: LINDA TWOMBLY</v>
      </c>
      <c r="E390" t="s">
        <v>0</v>
      </c>
      <c r="F390" t="s">
        <v>0</v>
      </c>
      <c r="G390" t="str">
        <f>T("WINNEMUCCA")</f>
        <v>WINNEMUCCA</v>
      </c>
      <c r="H390" t="str">
        <f>T("NV ")</f>
        <v>NV </v>
      </c>
      <c r="I390" s="1">
        <f>N(89445)</f>
        <v>89445</v>
      </c>
      <c r="J390" s="1">
        <f>N(7756231505)</f>
        <v>7756231505</v>
      </c>
      <c r="K390" s="1">
        <f>N(7756231503)</f>
        <v>7756231503</v>
      </c>
    </row>
    <row r="391" spans="1:11" ht="12.75">
      <c r="A391" s="1" t="s">
        <v>11</v>
      </c>
      <c r="B391" t="str">
        <f>T("TC200 DIV OF RNWBLE RSRC/PL")</f>
        <v>TC200 DIV OF RNWBLE RSRC/PL</v>
      </c>
      <c r="C391" t="str">
        <f>T("9828 NORTH 31ST AVE")</f>
        <v>9828 NORTH 31ST AVE</v>
      </c>
      <c r="D391" t="s">
        <v>0</v>
      </c>
      <c r="E391" t="s">
        <v>0</v>
      </c>
      <c r="F391" t="s">
        <v>0</v>
      </c>
      <c r="G391" t="str">
        <f aca="true" t="shared" si="86" ref="G391:G398">T("PHOENIX")</f>
        <v>PHOENIX</v>
      </c>
      <c r="H391" t="str">
        <f aca="true" t="shared" si="87" ref="H391:H398">T("AZ ")</f>
        <v>AZ </v>
      </c>
      <c r="I391" s="1">
        <f aca="true" t="shared" si="88" ref="I391:I398">N(85051)</f>
        <v>85051</v>
      </c>
      <c r="J391" s="1">
        <f>N(6029065555)</f>
        <v>6029065555</v>
      </c>
      <c r="K391" s="1" t="s">
        <v>0</v>
      </c>
    </row>
    <row r="392" spans="1:11" ht="12.75">
      <c r="A392" s="1" t="s">
        <v>11</v>
      </c>
      <c r="B392" t="str">
        <f>T("TC300 DIV OF MNRLS RTLY&amp;RP")</f>
        <v>TC300 DIV OF MNRLS RTLY&amp;RP</v>
      </c>
      <c r="C392" t="str">
        <f>T("9828 NORTH  31ST AVE")</f>
        <v>9828 NORTH  31ST AVE</v>
      </c>
      <c r="D392" t="s">
        <v>0</v>
      </c>
      <c r="E392" t="s">
        <v>0</v>
      </c>
      <c r="F392" t="s">
        <v>0</v>
      </c>
      <c r="G392" t="str">
        <f t="shared" si="86"/>
        <v>PHOENIX</v>
      </c>
      <c r="H392" t="str">
        <f t="shared" si="87"/>
        <v>AZ </v>
      </c>
      <c r="I392" s="1">
        <f t="shared" si="88"/>
        <v>85051</v>
      </c>
      <c r="J392" s="1">
        <f>N(6029065555)</f>
        <v>6029065555</v>
      </c>
      <c r="K392" s="1" t="s">
        <v>0</v>
      </c>
    </row>
    <row r="393" spans="1:11" ht="12.75">
      <c r="A393" s="1" t="s">
        <v>11</v>
      </c>
      <c r="B393" t="str">
        <f>T("TC400 DIV OF INFOR TECH")</f>
        <v>TC400 DIV OF INFOR TECH</v>
      </c>
      <c r="C393" t="str">
        <f>T("9828 NORTH   31ST AVE")</f>
        <v>9828 NORTH   31ST AVE</v>
      </c>
      <c r="D393" t="s">
        <v>0</v>
      </c>
      <c r="E393" t="s">
        <v>0</v>
      </c>
      <c r="F393" t="s">
        <v>0</v>
      </c>
      <c r="G393" t="str">
        <f t="shared" si="86"/>
        <v>PHOENIX</v>
      </c>
      <c r="H393" t="str">
        <f t="shared" si="87"/>
        <v>AZ </v>
      </c>
      <c r="I393" s="1">
        <f t="shared" si="88"/>
        <v>85051</v>
      </c>
      <c r="J393" s="1">
        <f>N(6029065555)</f>
        <v>6029065555</v>
      </c>
      <c r="K393" s="1" t="s">
        <v>0</v>
      </c>
    </row>
    <row r="394" spans="1:11" ht="12.75">
      <c r="A394" s="1" t="s">
        <v>11</v>
      </c>
      <c r="B394" t="str">
        <f>T("TC500 DIV OF SUPPORT SVCS")</f>
        <v>TC500 DIV OF SUPPORT SVCS</v>
      </c>
      <c r="C394" t="str">
        <f>T("9828 NORTH   31ST AVE")</f>
        <v>9828 NORTH   31ST AVE</v>
      </c>
      <c r="D394" t="s">
        <v>0</v>
      </c>
      <c r="E394" t="s">
        <v>0</v>
      </c>
      <c r="F394" t="s">
        <v>0</v>
      </c>
      <c r="G394" t="str">
        <f t="shared" si="86"/>
        <v>PHOENIX</v>
      </c>
      <c r="H394" t="str">
        <f t="shared" si="87"/>
        <v>AZ </v>
      </c>
      <c r="I394" s="1">
        <f t="shared" si="88"/>
        <v>85051</v>
      </c>
      <c r="J394" s="1">
        <f>N(6029065555)</f>
        <v>6029065555</v>
      </c>
      <c r="K394" s="1" t="s">
        <v>0</v>
      </c>
    </row>
    <row r="395" spans="1:11" ht="12.75">
      <c r="A395" s="1" t="s">
        <v>11</v>
      </c>
      <c r="B395" t="str">
        <f>T("TC200 DIV CAMPUS/DATA/MGT SVCS")</f>
        <v>TC200 DIV CAMPUS/DATA/MGT SVCS</v>
      </c>
      <c r="C395" t="str">
        <f>T("9828 NORTH   31ST AVE")</f>
        <v>9828 NORTH   31ST AVE</v>
      </c>
      <c r="D395" t="str">
        <f>T("ATTN:  DIANE MORRISON")</f>
        <v>ATTN:  DIANE MORRISON</v>
      </c>
      <c r="E395" t="s">
        <v>0</v>
      </c>
      <c r="F395" t="s">
        <v>0</v>
      </c>
      <c r="G395" t="str">
        <f t="shared" si="86"/>
        <v>PHOENIX</v>
      </c>
      <c r="H395" t="str">
        <f t="shared" si="87"/>
        <v>AZ </v>
      </c>
      <c r="I395" s="1">
        <f t="shared" si="88"/>
        <v>85051</v>
      </c>
      <c r="J395" s="1">
        <f>N(6029065607)</f>
        <v>6029065607</v>
      </c>
      <c r="K395" s="1">
        <f>N(6029065656)</f>
        <v>6029065656</v>
      </c>
    </row>
    <row r="396" spans="1:11" ht="12.75">
      <c r="A396" s="1" t="s">
        <v>11</v>
      </c>
      <c r="B396" t="str">
        <f>T("TC300 DIV MNRLS/HAZMAT/MED SVC")</f>
        <v>TC300 DIV MNRLS/HAZMAT/MED SVC</v>
      </c>
      <c r="C396" t="str">
        <f>T("9828 NORTH  31ST AVE")</f>
        <v>9828 NORTH  31ST AVE</v>
      </c>
      <c r="D396" t="str">
        <f>T("ATTN:  DIANE MORRISON")</f>
        <v>ATTN:  DIANE MORRISON</v>
      </c>
      <c r="E396" t="s">
        <v>0</v>
      </c>
      <c r="F396" t="s">
        <v>0</v>
      </c>
      <c r="G396" t="str">
        <f t="shared" si="86"/>
        <v>PHOENIX</v>
      </c>
      <c r="H396" t="str">
        <f t="shared" si="87"/>
        <v>AZ </v>
      </c>
      <c r="I396" s="1">
        <f t="shared" si="88"/>
        <v>85051</v>
      </c>
      <c r="J396" s="1">
        <f>N(6029065607)</f>
        <v>6029065607</v>
      </c>
      <c r="K396" s="1">
        <f>N(6029065656)</f>
        <v>6029065656</v>
      </c>
    </row>
    <row r="397" spans="1:11" ht="12.75">
      <c r="A397" s="1" t="s">
        <v>11</v>
      </c>
      <c r="B397" t="str">
        <f>T("TC400 DIV OF INFO TECHNOLOGY")</f>
        <v>TC400 DIV OF INFO TECHNOLOGY</v>
      </c>
      <c r="C397" t="str">
        <f>T("9828 NORTH  31ST AVE")</f>
        <v>9828 NORTH  31ST AVE</v>
      </c>
      <c r="D397" t="str">
        <f>T("ATTN:  DIANE MORRISON")</f>
        <v>ATTN:  DIANE MORRISON</v>
      </c>
      <c r="E397" t="s">
        <v>0</v>
      </c>
      <c r="F397" t="s">
        <v>0</v>
      </c>
      <c r="G397" t="str">
        <f t="shared" si="86"/>
        <v>PHOENIX</v>
      </c>
      <c r="H397" t="str">
        <f t="shared" si="87"/>
        <v>AZ </v>
      </c>
      <c r="I397" s="1">
        <f t="shared" si="88"/>
        <v>85051</v>
      </c>
      <c r="J397" s="1">
        <f>N(6029065607)</f>
        <v>6029065607</v>
      </c>
      <c r="K397" s="1">
        <f>N(6029065656)</f>
        <v>6029065656</v>
      </c>
    </row>
    <row r="398" spans="1:11" ht="12.75">
      <c r="A398" s="1" t="s">
        <v>11</v>
      </c>
      <c r="B398" t="str">
        <f>T("TC500 DIV OF ADMIN")</f>
        <v>TC500 DIV OF ADMIN</v>
      </c>
      <c r="C398" t="str">
        <f>T("9828 NORTH  31ST AVE")</f>
        <v>9828 NORTH  31ST AVE</v>
      </c>
      <c r="D398" t="str">
        <f>T("ATTN:  DIANE MORRISON")</f>
        <v>ATTN:  DIANE MORRISON</v>
      </c>
      <c r="E398" t="s">
        <v>0</v>
      </c>
      <c r="F398" t="s">
        <v>0</v>
      </c>
      <c r="G398" t="str">
        <f t="shared" si="86"/>
        <v>PHOENIX</v>
      </c>
      <c r="H398" t="str">
        <f t="shared" si="87"/>
        <v>AZ </v>
      </c>
      <c r="I398" s="1">
        <f t="shared" si="88"/>
        <v>85051</v>
      </c>
      <c r="J398" s="1">
        <f>N(6029065607)</f>
        <v>6029065607</v>
      </c>
      <c r="K398" s="1">
        <f>N(6029065656)</f>
        <v>6029065656</v>
      </c>
    </row>
    <row r="399" spans="1:11" ht="12.75">
      <c r="A399" s="1" t="s">
        <v>11</v>
      </c>
      <c r="B399" t="str">
        <f>T("WO 330 LAND &amp; RES PROJECT OFF")</f>
        <v>WO 330 LAND &amp; RES PROJECT OFF</v>
      </c>
      <c r="C399" t="str">
        <f>T("BLM  WO330D  DENVER FEDERAL CENTER ")</f>
        <v>BLM  WO330D  DENVER FEDERAL CENTER </v>
      </c>
      <c r="D399" t="str">
        <f>T("BLDG. 40  P.O. BOX 25047 ")</f>
        <v>BLDG. 40  P.O. BOX 25047 </v>
      </c>
      <c r="E399" t="str">
        <f>T("ATTN:  LESLIE CONE")</f>
        <v>ATTN:  LESLIE CONE</v>
      </c>
      <c r="F399" t="s">
        <v>0</v>
      </c>
      <c r="G399" t="str">
        <f aca="true" t="shared" si="89" ref="G399:G406">T("DENVER")</f>
        <v>DENVER</v>
      </c>
      <c r="H399" t="str">
        <f aca="true" t="shared" si="90" ref="H399:H410">T("CO ")</f>
        <v>CO </v>
      </c>
      <c r="I399" s="1">
        <f aca="true" t="shared" si="91" ref="I399:I406">N(802250047)</f>
        <v>802250047</v>
      </c>
      <c r="J399" s="1">
        <f>N(3032360815)</f>
        <v>3032360815</v>
      </c>
      <c r="K399" s="1">
        <f>N(3032366691)</f>
        <v>3032366691</v>
      </c>
    </row>
    <row r="400" spans="1:11" ht="12.75">
      <c r="A400" s="1" t="s">
        <v>11</v>
      </c>
      <c r="B400" t="str">
        <f>T("WO570 SYSTEM COORDINATION OFF")</f>
        <v>WO570 SYSTEM COORDINATION OFF</v>
      </c>
      <c r="C400" t="str">
        <f>T("DENVER FEDERAL CENTER  2ND FLOOR ")</f>
        <v>DENVER FEDERAL CENTER  2ND FLOOR </v>
      </c>
      <c r="D400" t="str">
        <f>T("BLDG. 40  P.O. BOX 25047 ")</f>
        <v>BLDG. 40  P.O. BOX 25047 </v>
      </c>
      <c r="E400" t="str">
        <f>T("ATTN:  JOHN FOSTER")</f>
        <v>ATTN:  JOHN FOSTER</v>
      </c>
      <c r="F400" t="s">
        <v>0</v>
      </c>
      <c r="G400" t="str">
        <f t="shared" si="89"/>
        <v>DENVER</v>
      </c>
      <c r="H400" t="str">
        <f t="shared" si="90"/>
        <v>CO </v>
      </c>
      <c r="I400" s="1">
        <f t="shared" si="91"/>
        <v>802250047</v>
      </c>
      <c r="J400" s="1">
        <f>N(3032361588)</f>
        <v>3032361588</v>
      </c>
      <c r="K400" s="1">
        <f>N(3032361981)</f>
        <v>3032361981</v>
      </c>
    </row>
    <row r="401" spans="1:11" ht="12.75">
      <c r="A401" s="1" t="s">
        <v>11</v>
      </c>
      <c r="B401" t="str">
        <f>T("BC652 SUPPORT PROGRAM BRANCH")</f>
        <v>BC652 SUPPORT PROGRAM BRANCH</v>
      </c>
      <c r="C401" t="str">
        <f>T("BLM DFC BLDG 50")</f>
        <v>BLM DFC BLDG 50</v>
      </c>
      <c r="D401" t="str">
        <f>T("PO BOX 25047")</f>
        <v>PO BOX 25047</v>
      </c>
      <c r="E401" t="str">
        <f>T("BC 652")</f>
        <v>BC 652</v>
      </c>
      <c r="F401" t="s">
        <v>0</v>
      </c>
      <c r="G401" t="str">
        <f t="shared" si="89"/>
        <v>DENVER</v>
      </c>
      <c r="H401" t="str">
        <f t="shared" si="90"/>
        <v>CO </v>
      </c>
      <c r="I401" s="1">
        <f t="shared" si="91"/>
        <v>802250047</v>
      </c>
      <c r="J401" s="1">
        <f>N(3032366485)</f>
        <v>3032366485</v>
      </c>
      <c r="K401" s="1">
        <f>N(3032369470)</f>
        <v>3032369470</v>
      </c>
    </row>
    <row r="402" spans="1:11" ht="12.75">
      <c r="A402" s="1" t="s">
        <v>11</v>
      </c>
      <c r="B402" t="str">
        <f>T("BC653 PROPERTY OPS BRANCH")</f>
        <v>BC653 PROPERTY OPS BRANCH</v>
      </c>
      <c r="C402" t="str">
        <f>T("BLM DFC BLDG 50")</f>
        <v>BLM DFC BLDG 50</v>
      </c>
      <c r="D402" t="str">
        <f>T("PO BOX 25047")</f>
        <v>PO BOX 25047</v>
      </c>
      <c r="E402" t="str">
        <f>T("BC 653")</f>
        <v>BC 653</v>
      </c>
      <c r="F402" t="s">
        <v>0</v>
      </c>
      <c r="G402" t="str">
        <f t="shared" si="89"/>
        <v>DENVER</v>
      </c>
      <c r="H402" t="str">
        <f t="shared" si="90"/>
        <v>CO </v>
      </c>
      <c r="I402" s="1">
        <f t="shared" si="91"/>
        <v>802250047</v>
      </c>
      <c r="J402" s="1">
        <f>N(3032366485)</f>
        <v>3032366485</v>
      </c>
      <c r="K402" s="1">
        <f>N(3032369470)</f>
        <v>3032369470</v>
      </c>
    </row>
    <row r="403" spans="1:11" ht="12.75">
      <c r="A403" s="1" t="s">
        <v>11</v>
      </c>
      <c r="B403" t="str">
        <f>T("BC662 INFORMATION TECHNOLOGY")</f>
        <v>BC662 INFORMATION TECHNOLOGY</v>
      </c>
      <c r="C403" t="str">
        <f>T("BLM DFC BLDG 50")</f>
        <v>BLM DFC BLDG 50</v>
      </c>
      <c r="D403" t="str">
        <f>T("PO BOX 25047")</f>
        <v>PO BOX 25047</v>
      </c>
      <c r="E403" t="str">
        <f>T("BC 662")</f>
        <v>BC 662</v>
      </c>
      <c r="F403" t="s">
        <v>0</v>
      </c>
      <c r="G403" t="str">
        <f t="shared" si="89"/>
        <v>DENVER</v>
      </c>
      <c r="H403" t="str">
        <f t="shared" si="90"/>
        <v>CO </v>
      </c>
      <c r="I403" s="1">
        <f t="shared" si="91"/>
        <v>802250047</v>
      </c>
      <c r="J403" s="1" t="s">
        <v>0</v>
      </c>
      <c r="K403" s="1">
        <f>N(3032369470)</f>
        <v>3032369470</v>
      </c>
    </row>
    <row r="404" spans="1:11" ht="12.75">
      <c r="A404" s="1" t="s">
        <v>11</v>
      </c>
      <c r="B404" t="str">
        <f>T("BC663 SRVCS &amp; SUPPLIES BRANCH")</f>
        <v>BC663 SRVCS &amp; SUPPLIES BRANCH</v>
      </c>
      <c r="C404" t="str">
        <f>T("BLM DFC BLDG 50")</f>
        <v>BLM DFC BLDG 50</v>
      </c>
      <c r="D404" t="str">
        <f>T("PO BOX 25047")</f>
        <v>PO BOX 25047</v>
      </c>
      <c r="E404" t="str">
        <f>T("BC 663")</f>
        <v>BC 663</v>
      </c>
      <c r="F404" t="s">
        <v>0</v>
      </c>
      <c r="G404" t="str">
        <f t="shared" si="89"/>
        <v>DENVER</v>
      </c>
      <c r="H404" t="str">
        <f t="shared" si="90"/>
        <v>CO </v>
      </c>
      <c r="I404" s="1">
        <f t="shared" si="91"/>
        <v>802250047</v>
      </c>
      <c r="J404" s="1">
        <f>N(3032369439)</f>
        <v>3032369439</v>
      </c>
      <c r="K404" s="1">
        <f>N(3032369470)</f>
        <v>3032369470</v>
      </c>
    </row>
    <row r="405" spans="1:11" ht="12.75">
      <c r="A405" s="1" t="s">
        <v>11</v>
      </c>
      <c r="B405" t="str">
        <f>T("BC665 SPACE LEASING BRANCH")</f>
        <v>BC665 SPACE LEASING BRANCH</v>
      </c>
      <c r="C405" t="str">
        <f>T("BLM DFC BLDG 50")</f>
        <v>BLM DFC BLDG 50</v>
      </c>
      <c r="D405" t="str">
        <f>T("PO BOX 25047")</f>
        <v>PO BOX 25047</v>
      </c>
      <c r="E405" t="str">
        <f>T("BC 665")</f>
        <v>BC 665</v>
      </c>
      <c r="F405" t="s">
        <v>0</v>
      </c>
      <c r="G405" t="str">
        <f t="shared" si="89"/>
        <v>DENVER</v>
      </c>
      <c r="H405" t="str">
        <f t="shared" si="90"/>
        <v>CO </v>
      </c>
      <c r="I405" s="1">
        <f t="shared" si="91"/>
        <v>802250047</v>
      </c>
      <c r="J405" s="1" t="s">
        <v>0</v>
      </c>
      <c r="K405" s="1">
        <f>N(3032369470)</f>
        <v>3032369470</v>
      </c>
    </row>
    <row r="406" spans="1:11" ht="12.75">
      <c r="A406" s="1" t="s">
        <v>11</v>
      </c>
      <c r="B406" t="str">
        <f>T("BC653 PROPERTY OPS BRANCH")</f>
        <v>BC653 PROPERTY OPS BRANCH</v>
      </c>
      <c r="C406" t="str">
        <f>T("DENVER FED CTR BC 653 BLDG 50")</f>
        <v>DENVER FED CTR BC 653 BLDG 50</v>
      </c>
      <c r="D406" t="str">
        <f>T("P O BOX 25047 ATTN SHIRLEY CAMPBELL")</f>
        <v>P O BOX 25047 ATTN SHIRLEY CAMPBELL</v>
      </c>
      <c r="E406" t="s">
        <v>0</v>
      </c>
      <c r="F406" t="s">
        <v>0</v>
      </c>
      <c r="G406" t="str">
        <f t="shared" si="89"/>
        <v>DENVER</v>
      </c>
      <c r="H406" t="str">
        <f t="shared" si="90"/>
        <v>CO </v>
      </c>
      <c r="I406" s="1">
        <f t="shared" si="91"/>
        <v>802250047</v>
      </c>
      <c r="J406" s="1">
        <f>N(3032363586)</f>
        <v>3032363586</v>
      </c>
      <c r="K406" s="1">
        <f>N(3032360561)</f>
        <v>3032360561</v>
      </c>
    </row>
    <row r="407" spans="1:11" ht="12.75">
      <c r="A407" s="1" t="s">
        <v>11</v>
      </c>
      <c r="B407" t="str">
        <f>T("CO800 SAN JUAN PUB LANDS CEN")</f>
        <v>CO800 SAN JUAN PUB LANDS CEN</v>
      </c>
      <c r="C407" t="str">
        <f>T("15 BURNETT CT")</f>
        <v>15 BURNETT CT</v>
      </c>
      <c r="D407" t="s">
        <v>0</v>
      </c>
      <c r="E407" t="s">
        <v>0</v>
      </c>
      <c r="F407" t="s">
        <v>0</v>
      </c>
      <c r="G407" t="str">
        <f>T("DURANGO")</f>
        <v>DURANGO</v>
      </c>
      <c r="H407" t="str">
        <f t="shared" si="90"/>
        <v>CO </v>
      </c>
      <c r="I407" s="1">
        <f>N(81301)</f>
        <v>81301</v>
      </c>
      <c r="J407" s="1">
        <f>N(3032393950)</f>
        <v>3032393950</v>
      </c>
      <c r="K407" s="1">
        <f>N(3032390777)</f>
        <v>3032390777</v>
      </c>
    </row>
    <row r="408" spans="1:11" ht="12.75">
      <c r="A408" s="1" t="s">
        <v>11</v>
      </c>
      <c r="B408" t="str">
        <f>T("CO840 CANYON ANCIENTS NTL MON")</f>
        <v>CO840 CANYON ANCIENTS NTL MON</v>
      </c>
      <c r="C408" t="str">
        <f>T("15 BURNETT CT")</f>
        <v>15 BURNETT CT</v>
      </c>
      <c r="D408" t="s">
        <v>0</v>
      </c>
      <c r="E408" t="s">
        <v>0</v>
      </c>
      <c r="F408" t="s">
        <v>0</v>
      </c>
      <c r="G408" t="str">
        <f>T("DURANGO")</f>
        <v>DURANGO</v>
      </c>
      <c r="H408" t="str">
        <f t="shared" si="90"/>
        <v>CO </v>
      </c>
      <c r="I408" s="1">
        <f>N(81301)</f>
        <v>81301</v>
      </c>
      <c r="J408" s="1">
        <f>N(3032393950)</f>
        <v>3032393950</v>
      </c>
      <c r="K408" s="1">
        <f>N(3032390777)</f>
        <v>3032390777</v>
      </c>
    </row>
    <row r="409" spans="1:11" ht="12.75">
      <c r="A409" s="1" t="s">
        <v>11</v>
      </c>
      <c r="B409" t="str">
        <f>T("CO800 SAN JUAN PUB LANDS CEN")</f>
        <v>CO800 SAN JUAN PUB LANDS CEN</v>
      </c>
      <c r="C409" t="str">
        <f>T("15 BURNETT CT")</f>
        <v>15 BURNETT CT</v>
      </c>
      <c r="D409" t="s">
        <v>0</v>
      </c>
      <c r="E409" t="s">
        <v>0</v>
      </c>
      <c r="F409" t="s">
        <v>0</v>
      </c>
      <c r="G409" t="str">
        <f>T("DURANGO")</f>
        <v>DURANGO</v>
      </c>
      <c r="H409" t="str">
        <f t="shared" si="90"/>
        <v>CO </v>
      </c>
      <c r="I409" s="1">
        <f>N(81301)</f>
        <v>81301</v>
      </c>
      <c r="J409" s="1">
        <f>N(9702474874)</f>
        <v>9702474874</v>
      </c>
      <c r="K409" s="1">
        <f>N(9703851375)</f>
        <v>9703851375</v>
      </c>
    </row>
    <row r="410" spans="1:11" ht="12.75">
      <c r="A410" s="1" t="s">
        <v>11</v>
      </c>
      <c r="B410" t="str">
        <f>T("CO840 CANYON ANCIENTS NTL MON")</f>
        <v>CO840 CANYON ANCIENTS NTL MON</v>
      </c>
      <c r="C410" t="str">
        <f>T("15 BURNETT CT")</f>
        <v>15 BURNETT CT</v>
      </c>
      <c r="D410" t="s">
        <v>0</v>
      </c>
      <c r="E410" t="s">
        <v>0</v>
      </c>
      <c r="F410" t="s">
        <v>0</v>
      </c>
      <c r="G410" t="str">
        <f>T("DURANGO")</f>
        <v>DURANGO</v>
      </c>
      <c r="H410" t="str">
        <f t="shared" si="90"/>
        <v>CO </v>
      </c>
      <c r="I410" s="1">
        <f>N(81301)</f>
        <v>81301</v>
      </c>
      <c r="J410" s="1">
        <f>N(9702474874)</f>
        <v>9702474874</v>
      </c>
      <c r="K410" s="1">
        <f>N(9703851375)</f>
        <v>9703851375</v>
      </c>
    </row>
    <row r="411" spans="1:11" ht="12.75">
      <c r="A411" s="1" t="s">
        <v>11</v>
      </c>
      <c r="B411" t="str">
        <f>T("W0740 NATIONAL SAFTEY OFFICE")</f>
        <v>W0740 NATIONAL SAFTEY OFFICE</v>
      </c>
      <c r="C411" t="str">
        <f>T("1849 C ST NW, SUITE 1075")</f>
        <v>1849 C ST NW, SUITE 1075</v>
      </c>
      <c r="D411" t="s">
        <v>0</v>
      </c>
      <c r="E411" t="s">
        <v>0</v>
      </c>
      <c r="F411" t="s">
        <v>0</v>
      </c>
      <c r="G411" t="str">
        <f>T("WASINGTON")</f>
        <v>WASINGTON</v>
      </c>
      <c r="H411" t="str">
        <f>T("DC ")</f>
        <v>DC </v>
      </c>
      <c r="I411" s="1">
        <f>N(20240)</f>
        <v>20240</v>
      </c>
      <c r="J411" s="1">
        <f>N(9)</f>
        <v>9</v>
      </c>
      <c r="K411" s="1">
        <f>N(9)</f>
        <v>9</v>
      </c>
    </row>
    <row r="412" spans="1:11" ht="12.75">
      <c r="A412" s="1" t="s">
        <v>11</v>
      </c>
      <c r="B412" t="str">
        <f>T("AK940 DIV OF ENERGY &amp;SOLID MIN")</f>
        <v>AK940 DIV OF ENERGY &amp;SOLID MIN</v>
      </c>
      <c r="C412" t="str">
        <f>T("BLM 6881 ABBOTT ROAD")</f>
        <v>BLM 6881 ABBOTT ROAD</v>
      </c>
      <c r="D412" t="s">
        <v>0</v>
      </c>
      <c r="E412" t="s">
        <v>0</v>
      </c>
      <c r="F412" t="s">
        <v>0</v>
      </c>
      <c r="G412" t="str">
        <f>T("ANCHORAGE")</f>
        <v>ANCHORAGE</v>
      </c>
      <c r="H412" t="str">
        <f>T("AK ")</f>
        <v>AK </v>
      </c>
      <c r="I412" s="1">
        <f>N(99507)</f>
        <v>99507</v>
      </c>
      <c r="J412" s="1">
        <f>N(9072671321)</f>
        <v>9072671321</v>
      </c>
      <c r="K412" s="1">
        <f>N(9072671434)</f>
        <v>9072671434</v>
      </c>
    </row>
    <row r="413" spans="1:11" ht="12.75">
      <c r="A413" s="1" t="s">
        <v>11</v>
      </c>
      <c r="B413" t="str">
        <f>T("AK940 DIV OF ENERGY &amp; SOLID MI")</f>
        <v>AK940 DIV OF ENERGY &amp; SOLID MI</v>
      </c>
      <c r="C413" t="str">
        <f>T("BLM")</f>
        <v>BLM</v>
      </c>
      <c r="D413" t="str">
        <f>T("222 WEST 7TH AVE #113")</f>
        <v>222 WEST 7TH AVE #113</v>
      </c>
      <c r="E413" t="s">
        <v>0</v>
      </c>
      <c r="F413" t="s">
        <v>0</v>
      </c>
      <c r="G413" t="str">
        <f>T("ANCHORAGE")</f>
        <v>ANCHORAGE</v>
      </c>
      <c r="H413" t="str">
        <f>T("AK ")</f>
        <v>AK </v>
      </c>
      <c r="I413" s="1">
        <f>N(995137599)</f>
        <v>995137599</v>
      </c>
      <c r="J413" s="1">
        <f>N(9072715045)</f>
        <v>9072715045</v>
      </c>
      <c r="K413" s="1">
        <f>N(9072714596)</f>
        <v>9072714596</v>
      </c>
    </row>
    <row r="414" spans="1:11" ht="12.75">
      <c r="A414" s="1" t="s">
        <v>11</v>
      </c>
      <c r="B414" t="str">
        <f>T("CA912 DSD EXTERNAL AFFAIRS")</f>
        <v>CA912 DSD EXTERNAL AFFAIRS</v>
      </c>
      <c r="C414" t="str">
        <f>T("BUREAU OD LAND MANAGEMENT")</f>
        <v>BUREAU OD LAND MANAGEMENT</v>
      </c>
      <c r="D414" t="str">
        <f>T("2800 COTTAGE WAY")</f>
        <v>2800 COTTAGE WAY</v>
      </c>
      <c r="E414" t="str">
        <f aca="true" t="shared" si="92" ref="E414:E420">T("W 1834")</f>
        <v>W 1834</v>
      </c>
      <c r="F414" t="s">
        <v>0</v>
      </c>
      <c r="G414" t="str">
        <f>T("SACRAMENTO")</f>
        <v>SACRAMENTO</v>
      </c>
      <c r="H414" t="str">
        <f>T("CA ")</f>
        <v>CA </v>
      </c>
      <c r="I414" s="1">
        <f>N(95825)</f>
        <v>95825</v>
      </c>
      <c r="J414" s="1" t="str">
        <f aca="true" t="shared" si="93" ref="J414:J420">T("916 978 4523")</f>
        <v>916 978 4523</v>
      </c>
      <c r="K414" s="1" t="str">
        <f aca="true" t="shared" si="94" ref="K414:K419">T("916 978 4444")</f>
        <v>916 978 4444</v>
      </c>
    </row>
    <row r="415" spans="1:11" ht="12.75">
      <c r="A415" s="1" t="s">
        <v>11</v>
      </c>
      <c r="B415" t="str">
        <f>T("CA914 BRANCH EQUAL OPPORTUNITY")</f>
        <v>CA914 BRANCH EQUAL OPPORTUNITY</v>
      </c>
      <c r="C415" t="str">
        <f aca="true" t="shared" si="95" ref="C415:C420">T("BUREAU OF LAND MANAGEMENT")</f>
        <v>BUREAU OF LAND MANAGEMENT</v>
      </c>
      <c r="D415" t="str">
        <f>T("2800 COTTAGE WAY")</f>
        <v>2800 COTTAGE WAY</v>
      </c>
      <c r="E415" t="str">
        <f t="shared" si="92"/>
        <v>W 1834</v>
      </c>
      <c r="F415" t="s">
        <v>0</v>
      </c>
      <c r="G415" t="str">
        <f>T("SACRAMENTO")</f>
        <v>SACRAMENTO</v>
      </c>
      <c r="H415" t="str">
        <f>T("CA ")</f>
        <v>CA </v>
      </c>
      <c r="I415" s="1">
        <f>N(95825)</f>
        <v>95825</v>
      </c>
      <c r="J415" s="1" t="str">
        <f t="shared" si="93"/>
        <v>916 978 4523</v>
      </c>
      <c r="K415" s="1" t="str">
        <f t="shared" si="94"/>
        <v>916 978 4444</v>
      </c>
    </row>
    <row r="416" spans="1:11" ht="12.75">
      <c r="A416" s="1" t="s">
        <v>11</v>
      </c>
      <c r="B416" t="str">
        <f>T("CA942 BRANCH OF GEOGRAPHIC SER")</f>
        <v>CA942 BRANCH OF GEOGRAPHIC SER</v>
      </c>
      <c r="C416" t="str">
        <f t="shared" si="95"/>
        <v>BUREAU OF LAND MANAGEMENT</v>
      </c>
      <c r="D416" t="str">
        <f>T("2800 COTTAGE WAY")</f>
        <v>2800 COTTAGE WAY</v>
      </c>
      <c r="E416" t="str">
        <f t="shared" si="92"/>
        <v>W 1834</v>
      </c>
      <c r="F416" t="s">
        <v>0</v>
      </c>
      <c r="G416" t="str">
        <f>T("SACREMENTO")</f>
        <v>SACREMENTO</v>
      </c>
      <c r="H416" t="str">
        <f>T("CS ")</f>
        <v>CS </v>
      </c>
      <c r="I416" s="1">
        <f>N(95825)</f>
        <v>95825</v>
      </c>
      <c r="J416" s="1" t="str">
        <f t="shared" si="93"/>
        <v>916 978 4523</v>
      </c>
      <c r="K416" s="1" t="str">
        <f t="shared" si="94"/>
        <v>916 978 4444</v>
      </c>
    </row>
    <row r="417" spans="1:11" ht="12.75">
      <c r="A417" s="1" t="s">
        <v>11</v>
      </c>
      <c r="B417" t="str">
        <f>T("CA943 BRANCH OF FIRE AVIATION")</f>
        <v>CA943 BRANCH OF FIRE AVIATION</v>
      </c>
      <c r="C417" t="str">
        <f t="shared" si="95"/>
        <v>BUREAU OF LAND MANAGEMENT</v>
      </c>
      <c r="D417" t="str">
        <f>T("2800 COTTAGE WAY ")</f>
        <v>2800 COTTAGE WAY </v>
      </c>
      <c r="E417" t="str">
        <f t="shared" si="92"/>
        <v>W 1834</v>
      </c>
      <c r="F417" t="s">
        <v>0</v>
      </c>
      <c r="G417" t="str">
        <f>T("SACRAMENTO")</f>
        <v>SACRAMENTO</v>
      </c>
      <c r="H417" t="str">
        <f>T("CA ")</f>
        <v>CA </v>
      </c>
      <c r="I417" s="1">
        <f>N(95825)</f>
        <v>95825</v>
      </c>
      <c r="J417" s="1" t="str">
        <f t="shared" si="93"/>
        <v>916 978 4523</v>
      </c>
      <c r="K417" s="1" t="str">
        <f t="shared" si="94"/>
        <v>916 978 4444</v>
      </c>
    </row>
    <row r="418" spans="1:11" ht="12.75">
      <c r="A418" s="1" t="s">
        <v>11</v>
      </c>
      <c r="B418" t="str">
        <f>T("CA944 BRANCH OF FISCAL BUS SER")</f>
        <v>CA944 BRANCH OF FISCAL BUS SER</v>
      </c>
      <c r="C418" t="str">
        <f t="shared" si="95"/>
        <v>BUREAU OF LAND MANAGEMENT</v>
      </c>
      <c r="D418" t="str">
        <f>T("2800 COTTAGE WAY")</f>
        <v>2800 COTTAGE WAY</v>
      </c>
      <c r="E418" t="str">
        <f t="shared" si="92"/>
        <v>W 1834</v>
      </c>
      <c r="F418" t="s">
        <v>0</v>
      </c>
      <c r="G418" t="str">
        <f>T("SACRAMENTO")</f>
        <v>SACRAMENTO</v>
      </c>
      <c r="H418" t="str">
        <f>T("CA ")</f>
        <v>CA </v>
      </c>
      <c r="I418" s="1">
        <f>N(95824)</f>
        <v>95824</v>
      </c>
      <c r="J418" s="1" t="str">
        <f t="shared" si="93"/>
        <v>916 978 4523</v>
      </c>
      <c r="K418" s="1" t="str">
        <f t="shared" si="94"/>
        <v>916 978 4444</v>
      </c>
    </row>
    <row r="419" spans="1:11" ht="12.75">
      <c r="A419" s="1" t="s">
        <v>11</v>
      </c>
      <c r="B419" t="str">
        <f>T("CA945 BRANCH OF HUMAN RESOURCE")</f>
        <v>CA945 BRANCH OF HUMAN RESOURCE</v>
      </c>
      <c r="C419" t="str">
        <f t="shared" si="95"/>
        <v>BUREAU OF LAND MANAGEMENT</v>
      </c>
      <c r="D419" t="str">
        <f>T("2800 COTTAGE WAY")</f>
        <v>2800 COTTAGE WAY</v>
      </c>
      <c r="E419" t="str">
        <f t="shared" si="92"/>
        <v>W 1834</v>
      </c>
      <c r="F419" t="s">
        <v>0</v>
      </c>
      <c r="G419" t="str">
        <f>T("SACRAMENTO")</f>
        <v>SACRAMENTO</v>
      </c>
      <c r="H419" t="str">
        <f>T("CA ")</f>
        <v>CA </v>
      </c>
      <c r="I419" s="1">
        <f>N(95825)</f>
        <v>95825</v>
      </c>
      <c r="J419" s="1" t="str">
        <f t="shared" si="93"/>
        <v>916 978 4523</v>
      </c>
      <c r="K419" s="1" t="str">
        <f t="shared" si="94"/>
        <v>916 978 4444</v>
      </c>
    </row>
    <row r="420" spans="1:11" ht="12.75">
      <c r="A420" s="1" t="s">
        <v>11</v>
      </c>
      <c r="B420" t="str">
        <f>T("CA946 INFORMATION RESOURCES MG")</f>
        <v>CA946 INFORMATION RESOURCES MG</v>
      </c>
      <c r="C420" t="str">
        <f t="shared" si="95"/>
        <v>BUREAU OF LAND MANAGEMENT</v>
      </c>
      <c r="D420" t="str">
        <f>T("2800 COTTAGE WAY")</f>
        <v>2800 COTTAGE WAY</v>
      </c>
      <c r="E420" t="str">
        <f t="shared" si="92"/>
        <v>W 1834</v>
      </c>
      <c r="F420" t="s">
        <v>0</v>
      </c>
      <c r="G420" t="str">
        <f>T("SACRAMENTO")</f>
        <v>SACRAMENTO</v>
      </c>
      <c r="H420" t="str">
        <f>T("CA ")</f>
        <v>CA </v>
      </c>
      <c r="I420" s="1">
        <f>N(95825)</f>
        <v>95825</v>
      </c>
      <c r="J420" s="1" t="str">
        <f t="shared" si="93"/>
        <v>916 978 4523</v>
      </c>
      <c r="K420" s="1" t="str">
        <f>T("916 978 4444 ")</f>
        <v>916 978 4444 </v>
      </c>
    </row>
    <row r="421" spans="1:11" ht="12.75">
      <c r="A421" s="1" t="s">
        <v>11</v>
      </c>
      <c r="B421" t="str">
        <f>T("MT061 LFO DIV OF RENWL RESOURC")</f>
        <v>MT061 LFO DIV OF RENWL RESOURC</v>
      </c>
      <c r="C421" t="str">
        <f>T("AIRPORT ROAD")</f>
        <v>AIRPORT ROAD</v>
      </c>
      <c r="D421" t="s">
        <v>0</v>
      </c>
      <c r="E421" t="s">
        <v>0</v>
      </c>
      <c r="F421" t="s">
        <v>0</v>
      </c>
      <c r="G421" t="str">
        <f aca="true" t="shared" si="96" ref="G421:G426">T("LEWISTOWN")</f>
        <v>LEWISTOWN</v>
      </c>
      <c r="H421" t="str">
        <f aca="true" t="shared" si="97" ref="H421:H439">T("MT ")</f>
        <v>MT </v>
      </c>
      <c r="I421" s="1">
        <f aca="true" t="shared" si="98" ref="I421:I426">N(59457)</f>
        <v>59457</v>
      </c>
      <c r="J421" s="1">
        <f>N(4065381931)</f>
        <v>4065381931</v>
      </c>
      <c r="K421" s="1" t="s">
        <v>0</v>
      </c>
    </row>
    <row r="422" spans="1:11" ht="12.75">
      <c r="A422" s="1" t="s">
        <v>11</v>
      </c>
      <c r="B422" t="str">
        <f>T("MT060 LFO FOMANGER STAFF")</f>
        <v>MT060 LFO FOMANGER STAFF</v>
      </c>
      <c r="C422" t="str">
        <f>T("LEWISTOWN FO BLM")</f>
        <v>LEWISTOWN FO BLM</v>
      </c>
      <c r="D422" t="str">
        <f>T("AIRPORT ROAD")</f>
        <v>AIRPORT ROAD</v>
      </c>
      <c r="E422" t="s">
        <v>0</v>
      </c>
      <c r="F422" t="s">
        <v>0</v>
      </c>
      <c r="G422" t="str">
        <f t="shared" si="96"/>
        <v>LEWISTOWN</v>
      </c>
      <c r="H422" t="str">
        <f t="shared" si="97"/>
        <v>MT </v>
      </c>
      <c r="I422" s="1">
        <f t="shared" si="98"/>
        <v>59457</v>
      </c>
      <c r="J422" s="1">
        <f>N(4035381731)</f>
        <v>4035381731</v>
      </c>
      <c r="K422" s="1" t="s">
        <v>0</v>
      </c>
    </row>
    <row r="423" spans="1:11" ht="12.75">
      <c r="A423" s="1" t="s">
        <v>11</v>
      </c>
      <c r="B423" t="str">
        <f>T("MT063 LFP CENTRAL MONTANA FIRE")</f>
        <v>MT063 LFP CENTRAL MONTANA FIRE</v>
      </c>
      <c r="C423" t="str">
        <f>T("LEWISTOWN FO BLM")</f>
        <v>LEWISTOWN FO BLM</v>
      </c>
      <c r="D423" t="str">
        <f>T("AIRPORT RD")</f>
        <v>AIRPORT RD</v>
      </c>
      <c r="E423" t="s">
        <v>0</v>
      </c>
      <c r="F423" t="s">
        <v>0</v>
      </c>
      <c r="G423" t="str">
        <f t="shared" si="96"/>
        <v>LEWISTOWN</v>
      </c>
      <c r="H423" t="str">
        <f t="shared" si="97"/>
        <v>MT </v>
      </c>
      <c r="I423" s="1">
        <f t="shared" si="98"/>
        <v>59457</v>
      </c>
      <c r="J423" s="1">
        <f>N(4065381931)</f>
        <v>4065381931</v>
      </c>
      <c r="K423" s="1" t="s">
        <v>0</v>
      </c>
    </row>
    <row r="424" spans="1:11" ht="12.75">
      <c r="A424" s="1" t="s">
        <v>11</v>
      </c>
      <c r="B424" t="str">
        <f>T("MT064 LFO HAVRE FIELD STATION")</f>
        <v>MT064 LFO HAVRE FIELD STATION</v>
      </c>
      <c r="C424" t="str">
        <f>T("LEWISTOWN FO BLM")</f>
        <v>LEWISTOWN FO BLM</v>
      </c>
      <c r="D424" t="str">
        <f>T("AIRPORT RD")</f>
        <v>AIRPORT RD</v>
      </c>
      <c r="E424" t="s">
        <v>0</v>
      </c>
      <c r="F424" t="s">
        <v>0</v>
      </c>
      <c r="G424" t="str">
        <f t="shared" si="96"/>
        <v>LEWISTOWN</v>
      </c>
      <c r="H424" t="str">
        <f t="shared" si="97"/>
        <v>MT </v>
      </c>
      <c r="I424" s="1">
        <f t="shared" si="98"/>
        <v>59457</v>
      </c>
      <c r="J424" s="1">
        <f>N(4065381931)</f>
        <v>4065381931</v>
      </c>
      <c r="K424" s="1" t="s">
        <v>0</v>
      </c>
    </row>
    <row r="425" spans="1:11" ht="12.75">
      <c r="A425" s="1" t="s">
        <v>11</v>
      </c>
      <c r="B425" t="str">
        <f>T("MT065 DIV OF SUPPT SERVICES")</f>
        <v>MT065 DIV OF SUPPT SERVICES</v>
      </c>
      <c r="C425" t="str">
        <f>T("LEWISTOWN FO BLM")</f>
        <v>LEWISTOWN FO BLM</v>
      </c>
      <c r="D425" t="str">
        <f>T("AIRPORT DR")</f>
        <v>AIRPORT DR</v>
      </c>
      <c r="E425" t="s">
        <v>0</v>
      </c>
      <c r="F425" t="s">
        <v>0</v>
      </c>
      <c r="G425" t="str">
        <f t="shared" si="96"/>
        <v>LEWISTOWN</v>
      </c>
      <c r="H425" t="str">
        <f t="shared" si="97"/>
        <v>MT </v>
      </c>
      <c r="I425" s="1">
        <f t="shared" si="98"/>
        <v>59457</v>
      </c>
      <c r="J425" s="1">
        <f>N(4065381931)</f>
        <v>4065381931</v>
      </c>
      <c r="K425" s="1" t="s">
        <v>0</v>
      </c>
    </row>
    <row r="426" spans="1:11" ht="12.75">
      <c r="A426" s="1" t="s">
        <v>11</v>
      </c>
      <c r="B426" t="str">
        <f>T("MT066 LFO MISSOURI RIVER MONUM")</f>
        <v>MT066 LFO MISSOURI RIVER MONUM</v>
      </c>
      <c r="C426" t="str">
        <f>T("LEWISTOWN FO BLM")</f>
        <v>LEWISTOWN FO BLM</v>
      </c>
      <c r="D426" t="str">
        <f>T("AIRPORT RD")</f>
        <v>AIRPORT RD</v>
      </c>
      <c r="E426" t="s">
        <v>0</v>
      </c>
      <c r="F426" t="s">
        <v>0</v>
      </c>
      <c r="G426" t="str">
        <f t="shared" si="96"/>
        <v>LEWISTOWN</v>
      </c>
      <c r="H426" t="str">
        <f t="shared" si="97"/>
        <v>MT </v>
      </c>
      <c r="I426" s="1">
        <f t="shared" si="98"/>
        <v>59457</v>
      </c>
      <c r="J426" s="1">
        <f>N(4065381931)</f>
        <v>4065381931</v>
      </c>
      <c r="K426" s="1" t="s">
        <v>0</v>
      </c>
    </row>
    <row r="427" spans="1:11" ht="12.75">
      <c r="A427" s="1" t="s">
        <v>11</v>
      </c>
      <c r="B427" t="str">
        <f>T("MT912 EXTERNAL AFFAIRS")</f>
        <v>MT912 EXTERNAL AFFAIRS</v>
      </c>
      <c r="C427" t="str">
        <f aca="true" t="shared" si="99" ref="C427:C435">T("5001 SOUTHGATE DRIVE")</f>
        <v>5001 SOUTHGATE DRIVE</v>
      </c>
      <c r="D427" t="str">
        <f aca="true" t="shared" si="100" ref="D427:D437">T("P O BOX 36800")</f>
        <v>P O BOX 36800</v>
      </c>
      <c r="E427" t="s">
        <v>0</v>
      </c>
      <c r="F427" t="s">
        <v>0</v>
      </c>
      <c r="G427" t="str">
        <f>T("BILLINGS")</f>
        <v>BILLINGS</v>
      </c>
      <c r="H427" t="str">
        <f t="shared" si="97"/>
        <v>MT </v>
      </c>
      <c r="I427" s="1">
        <f aca="true" t="shared" si="101" ref="I427:I437">N(59107)</f>
        <v>59107</v>
      </c>
      <c r="J427" s="1">
        <f aca="true" t="shared" si="102" ref="J427:J437">N(4068965203)</f>
        <v>4068965203</v>
      </c>
      <c r="K427" s="1">
        <f aca="true" t="shared" si="103" ref="K427:K437">N(4068965296)</f>
        <v>4068965296</v>
      </c>
    </row>
    <row r="428" spans="1:11" ht="12.75">
      <c r="A428" s="1" t="s">
        <v>11</v>
      </c>
      <c r="B428" t="str">
        <f>T("MT920 RES DSD STAFF")</f>
        <v>MT920 RES DSD STAFF</v>
      </c>
      <c r="C428" t="str">
        <f t="shared" si="99"/>
        <v>5001 SOUTHGATE DRIVE</v>
      </c>
      <c r="D428" t="str">
        <f t="shared" si="100"/>
        <v>P O BOX 36800</v>
      </c>
      <c r="E428" t="s">
        <v>0</v>
      </c>
      <c r="F428" t="s">
        <v>0</v>
      </c>
      <c r="G428" t="str">
        <f>T("BILLINGS ")</f>
        <v>BILLINGS </v>
      </c>
      <c r="H428" t="str">
        <f t="shared" si="97"/>
        <v>MT </v>
      </c>
      <c r="I428" s="1">
        <f t="shared" si="101"/>
        <v>59107</v>
      </c>
      <c r="J428" s="1">
        <f t="shared" si="102"/>
        <v>4068965203</v>
      </c>
      <c r="K428" s="1">
        <f t="shared" si="103"/>
        <v>4068965296</v>
      </c>
    </row>
    <row r="429" spans="1:11" ht="12.75">
      <c r="A429" s="1" t="s">
        <v>11</v>
      </c>
      <c r="B429" t="str">
        <f>T("MT922 FLUID MINERALS")</f>
        <v>MT922 FLUID MINERALS</v>
      </c>
      <c r="C429" t="str">
        <f t="shared" si="99"/>
        <v>5001 SOUTHGATE DRIVE</v>
      </c>
      <c r="D429" t="str">
        <f t="shared" si="100"/>
        <v>P O BOX 36800</v>
      </c>
      <c r="E429" t="s">
        <v>0</v>
      </c>
      <c r="F429" t="s">
        <v>0</v>
      </c>
      <c r="G429" t="str">
        <f>T("BILLINGS")</f>
        <v>BILLINGS</v>
      </c>
      <c r="H429" t="str">
        <f t="shared" si="97"/>
        <v>MT </v>
      </c>
      <c r="I429" s="1">
        <f t="shared" si="101"/>
        <v>59107</v>
      </c>
      <c r="J429" s="1">
        <f t="shared" si="102"/>
        <v>4068965203</v>
      </c>
      <c r="K429" s="1">
        <f t="shared" si="103"/>
        <v>4068965296</v>
      </c>
    </row>
    <row r="430" spans="1:11" ht="12.75">
      <c r="A430" s="1" t="s">
        <v>11</v>
      </c>
      <c r="B430" t="str">
        <f>T("MT924 LAND RESOURCES")</f>
        <v>MT924 LAND RESOURCES</v>
      </c>
      <c r="C430" t="str">
        <f t="shared" si="99"/>
        <v>5001 SOUTHGATE DRIVE</v>
      </c>
      <c r="D430" t="str">
        <f t="shared" si="100"/>
        <v>P O BOX 36800</v>
      </c>
      <c r="E430" t="s">
        <v>0</v>
      </c>
      <c r="F430" t="s">
        <v>0</v>
      </c>
      <c r="G430" t="str">
        <f>T("BILLINGS")</f>
        <v>BILLINGS</v>
      </c>
      <c r="H430" t="str">
        <f t="shared" si="97"/>
        <v>MT </v>
      </c>
      <c r="I430" s="1">
        <f t="shared" si="101"/>
        <v>59107</v>
      </c>
      <c r="J430" s="1">
        <f t="shared" si="102"/>
        <v>4068965203</v>
      </c>
      <c r="K430" s="1">
        <f t="shared" si="103"/>
        <v>4068965296</v>
      </c>
    </row>
    <row r="431" spans="1:11" ht="12.75">
      <c r="A431" s="1" t="s">
        <v>11</v>
      </c>
      <c r="B431" t="str">
        <f>T("MT925 FIRE &amp; AVIATION")</f>
        <v>MT925 FIRE &amp; AVIATION</v>
      </c>
      <c r="C431" t="str">
        <f t="shared" si="99"/>
        <v>5001 SOUTHGATE DRIVE</v>
      </c>
      <c r="D431" t="str">
        <f t="shared" si="100"/>
        <v>P O BOX 36800</v>
      </c>
      <c r="E431" t="s">
        <v>0</v>
      </c>
      <c r="F431" t="s">
        <v>0</v>
      </c>
      <c r="G431" t="str">
        <f>T("BILLINGS")</f>
        <v>BILLINGS</v>
      </c>
      <c r="H431" t="str">
        <f t="shared" si="97"/>
        <v>MT </v>
      </c>
      <c r="I431" s="1">
        <f t="shared" si="101"/>
        <v>59107</v>
      </c>
      <c r="J431" s="1">
        <f t="shared" si="102"/>
        <v>4068965203</v>
      </c>
      <c r="K431" s="1">
        <f t="shared" si="103"/>
        <v>4068965296</v>
      </c>
    </row>
    <row r="432" spans="1:11" ht="12.75">
      <c r="A432" s="1" t="s">
        <v>11</v>
      </c>
      <c r="B432" t="str">
        <f>T("MT926 CADASTRAL SURVEY")</f>
        <v>MT926 CADASTRAL SURVEY</v>
      </c>
      <c r="C432" t="str">
        <f t="shared" si="99"/>
        <v>5001 SOUTHGATE DRIVE</v>
      </c>
      <c r="D432" t="str">
        <f t="shared" si="100"/>
        <v>P O BOX 36800</v>
      </c>
      <c r="E432" t="s">
        <v>0</v>
      </c>
      <c r="F432" t="s">
        <v>0</v>
      </c>
      <c r="G432" t="str">
        <f>T("BILLINGS")</f>
        <v>BILLINGS</v>
      </c>
      <c r="H432" t="str">
        <f t="shared" si="97"/>
        <v>MT </v>
      </c>
      <c r="I432" s="1">
        <f t="shared" si="101"/>
        <v>59107</v>
      </c>
      <c r="J432" s="1">
        <f t="shared" si="102"/>
        <v>4068965203</v>
      </c>
      <c r="K432" s="1">
        <f t="shared" si="103"/>
        <v>4068965296</v>
      </c>
    </row>
    <row r="433" spans="1:11" ht="12.75">
      <c r="A433" s="1" t="s">
        <v>11</v>
      </c>
      <c r="B433" t="str">
        <f>T("MT931 ENGINEERING")</f>
        <v>MT931 ENGINEERING</v>
      </c>
      <c r="C433" t="str">
        <f t="shared" si="99"/>
        <v>5001 SOUTHGATE DRIVE</v>
      </c>
      <c r="D433" t="str">
        <f t="shared" si="100"/>
        <v>P O BOX 36800</v>
      </c>
      <c r="E433" t="s">
        <v>0</v>
      </c>
      <c r="F433" t="s">
        <v>0</v>
      </c>
      <c r="G433" t="str">
        <f>T("BILLINGS")</f>
        <v>BILLINGS</v>
      </c>
      <c r="H433" t="str">
        <f t="shared" si="97"/>
        <v>MT </v>
      </c>
      <c r="I433" s="1">
        <f t="shared" si="101"/>
        <v>59107</v>
      </c>
      <c r="J433" s="1">
        <f t="shared" si="102"/>
        <v>4068965203</v>
      </c>
      <c r="K433" s="1">
        <f t="shared" si="103"/>
        <v>4068965296</v>
      </c>
    </row>
    <row r="434" spans="1:11" ht="12.75">
      <c r="A434" s="1" t="s">
        <v>11</v>
      </c>
      <c r="B434" t="str">
        <f>T("MT932 IRM")</f>
        <v>MT932 IRM</v>
      </c>
      <c r="C434" t="str">
        <f t="shared" si="99"/>
        <v>5001 SOUTHGATE DRIVE</v>
      </c>
      <c r="D434" t="str">
        <f t="shared" si="100"/>
        <v>P O BOX 36800</v>
      </c>
      <c r="E434" t="s">
        <v>0</v>
      </c>
      <c r="F434" t="s">
        <v>0</v>
      </c>
      <c r="G434" t="str">
        <f>T("BILLINGS ")</f>
        <v>BILLINGS </v>
      </c>
      <c r="H434" t="str">
        <f t="shared" si="97"/>
        <v>MT </v>
      </c>
      <c r="I434" s="1">
        <f t="shared" si="101"/>
        <v>59107</v>
      </c>
      <c r="J434" s="1">
        <f t="shared" si="102"/>
        <v>4068965203</v>
      </c>
      <c r="K434" s="1">
        <f t="shared" si="103"/>
        <v>4068965296</v>
      </c>
    </row>
    <row r="435" spans="1:11" ht="12.75">
      <c r="A435" s="1" t="s">
        <v>11</v>
      </c>
      <c r="B435" t="str">
        <f>T("MT933 HUMAN RESOURCES")</f>
        <v>MT933 HUMAN RESOURCES</v>
      </c>
      <c r="C435" t="str">
        <f t="shared" si="99"/>
        <v>5001 SOUTHGATE DRIVE</v>
      </c>
      <c r="D435" t="str">
        <f t="shared" si="100"/>
        <v>P O BOX 36800</v>
      </c>
      <c r="E435" t="s">
        <v>0</v>
      </c>
      <c r="F435" t="s">
        <v>0</v>
      </c>
      <c r="G435" t="str">
        <f>T("BILLINGS")</f>
        <v>BILLINGS</v>
      </c>
      <c r="H435" t="str">
        <f t="shared" si="97"/>
        <v>MT </v>
      </c>
      <c r="I435" s="1">
        <f t="shared" si="101"/>
        <v>59107</v>
      </c>
      <c r="J435" s="1">
        <f t="shared" si="102"/>
        <v>4068965203</v>
      </c>
      <c r="K435" s="1">
        <f t="shared" si="103"/>
        <v>4068965296</v>
      </c>
    </row>
    <row r="436" spans="1:11" ht="12.75">
      <c r="A436" s="1" t="s">
        <v>11</v>
      </c>
      <c r="B436" t="str">
        <f>T("MT934 RECORDS")</f>
        <v>MT934 RECORDS</v>
      </c>
      <c r="C436" t="str">
        <f>T("5001 SOUTHGATE DRIVE ")</f>
        <v>5001 SOUTHGATE DRIVE </v>
      </c>
      <c r="D436" t="str">
        <f t="shared" si="100"/>
        <v>P O BOX 36800</v>
      </c>
      <c r="E436" t="s">
        <v>0</v>
      </c>
      <c r="F436" t="s">
        <v>0</v>
      </c>
      <c r="G436" t="str">
        <f>T("BILLINGS")</f>
        <v>BILLINGS</v>
      </c>
      <c r="H436" t="str">
        <f t="shared" si="97"/>
        <v>MT </v>
      </c>
      <c r="I436" s="1">
        <f t="shared" si="101"/>
        <v>59107</v>
      </c>
      <c r="J436" s="1">
        <f t="shared" si="102"/>
        <v>4068965203</v>
      </c>
      <c r="K436" s="1">
        <f t="shared" si="103"/>
        <v>4068965296</v>
      </c>
    </row>
    <row r="437" spans="1:11" ht="12.75">
      <c r="A437" s="1" t="s">
        <v>11</v>
      </c>
      <c r="B437" t="str">
        <f>T("MT935 BUS &amp; FISCAL SRVCS")</f>
        <v>MT935 BUS &amp; FISCAL SRVCS</v>
      </c>
      <c r="C437" t="str">
        <f>T("5001 SOUTHGATE DRIVE")</f>
        <v>5001 SOUTHGATE DRIVE</v>
      </c>
      <c r="D437" t="str">
        <f t="shared" si="100"/>
        <v>P O BOX 36800</v>
      </c>
      <c r="E437" t="s">
        <v>0</v>
      </c>
      <c r="F437" t="s">
        <v>0</v>
      </c>
      <c r="G437" t="str">
        <f>T("BILLINGS")</f>
        <v>BILLINGS</v>
      </c>
      <c r="H437" t="str">
        <f t="shared" si="97"/>
        <v>MT </v>
      </c>
      <c r="I437" s="1">
        <f t="shared" si="101"/>
        <v>59107</v>
      </c>
      <c r="J437" s="1">
        <f t="shared" si="102"/>
        <v>4068965203</v>
      </c>
      <c r="K437" s="1">
        <f t="shared" si="103"/>
        <v>4068965296</v>
      </c>
    </row>
    <row r="438" spans="1:11" ht="12.75">
      <c r="A438" s="1" t="s">
        <v>11</v>
      </c>
      <c r="B438" t="str">
        <f>T("MT092 GLASGOW FIELD STATION")</f>
        <v>MT092 GLASGOW FIELD STATION</v>
      </c>
      <c r="C438" t="str">
        <f>T("GLASGOW FS BLM")</f>
        <v>GLASGOW FS BLM</v>
      </c>
      <c r="D438" t="str">
        <f>T("RR1 4775")</f>
        <v>RR1 4775</v>
      </c>
      <c r="E438" t="s">
        <v>0</v>
      </c>
      <c r="F438" t="s">
        <v>0</v>
      </c>
      <c r="G438" t="str">
        <f>T("GLASGOW")</f>
        <v>GLASGOW</v>
      </c>
      <c r="H438" t="str">
        <f t="shared" si="97"/>
        <v>MT </v>
      </c>
      <c r="I438" s="1">
        <f>N(59230)</f>
        <v>59230</v>
      </c>
      <c r="J438" s="1">
        <f>N(4065381931)</f>
        <v>4065381931</v>
      </c>
      <c r="K438" s="1" t="s">
        <v>0</v>
      </c>
    </row>
    <row r="439" spans="1:11" ht="12.75">
      <c r="A439" s="1" t="s">
        <v>11</v>
      </c>
      <c r="B439" t="str">
        <f>T("MT930 SS DSD STAFF")</f>
        <v>MT930 SS DSD STAFF</v>
      </c>
      <c r="C439" t="str">
        <f>T("5001 SOUTHGATE DR")</f>
        <v>5001 SOUTHGATE DR</v>
      </c>
      <c r="D439" t="str">
        <f>T("P O BOX 36800")</f>
        <v>P O BOX 36800</v>
      </c>
      <c r="E439" t="s">
        <v>0</v>
      </c>
      <c r="F439" t="s">
        <v>0</v>
      </c>
      <c r="G439" t="str">
        <f>T("BILLINGS")</f>
        <v>BILLINGS</v>
      </c>
      <c r="H439" t="str">
        <f t="shared" si="97"/>
        <v>MT </v>
      </c>
      <c r="I439" s="1">
        <f>N(59107)</f>
        <v>59107</v>
      </c>
      <c r="J439" s="1">
        <f>N(4068965203)</f>
        <v>4068965203</v>
      </c>
      <c r="K439" s="1">
        <f>N(4068965296)</f>
        <v>4068965296</v>
      </c>
    </row>
    <row r="440" spans="1:11" ht="12.75">
      <c r="A440" s="1" t="s">
        <v>11</v>
      </c>
      <c r="B440" t="str">
        <f>T("NM920 LANDS AND MINERALS")</f>
        <v>NM920 LANDS AND MINERALS</v>
      </c>
      <c r="C440" t="str">
        <f>T("435 MONTANO RD NE ")</f>
        <v>435 MONTANO RD NE </v>
      </c>
      <c r="D440" t="s">
        <v>0</v>
      </c>
      <c r="E440" t="s">
        <v>0</v>
      </c>
      <c r="F440" t="s">
        <v>0</v>
      </c>
      <c r="G440" t="str">
        <f>T("ALBUQUERQUE")</f>
        <v>ALBUQUERQUE</v>
      </c>
      <c r="H440" t="str">
        <f>T("NM ")</f>
        <v>NM </v>
      </c>
      <c r="I440" s="1">
        <f>N(87107)</f>
        <v>87107</v>
      </c>
      <c r="J440" s="1" t="str">
        <f>T("505-761-8700")</f>
        <v>505-761-8700</v>
      </c>
      <c r="K440" s="1" t="str">
        <f>T("505-761-8911")</f>
        <v>505-761-8911</v>
      </c>
    </row>
    <row r="441" spans="1:11" ht="12.75">
      <c r="A441" s="1" t="s">
        <v>11</v>
      </c>
      <c r="B441" t="str">
        <f>T("NM920 LANDS AND MINERALS")</f>
        <v>NM920 LANDS AND MINERALS</v>
      </c>
      <c r="C441" t="str">
        <f>T("435 MONTANO RD NE ")</f>
        <v>435 MONTANO RD NE </v>
      </c>
      <c r="D441" t="s">
        <v>0</v>
      </c>
      <c r="E441" t="s">
        <v>0</v>
      </c>
      <c r="F441" t="s">
        <v>0</v>
      </c>
      <c r="G441" t="str">
        <f>T("ALBUQUERQUE")</f>
        <v>ALBUQUERQUE</v>
      </c>
      <c r="H441" t="str">
        <f>T("NM ")</f>
        <v>NM </v>
      </c>
      <c r="I441" s="1">
        <f>N(87107)</f>
        <v>87107</v>
      </c>
      <c r="J441" s="1" t="str">
        <f>T("505-761-8700")</f>
        <v>505-761-8700</v>
      </c>
      <c r="K441" s="1" t="str">
        <f>T("505-761-8911")</f>
        <v>505-761-8911</v>
      </c>
    </row>
    <row r="442" spans="1:11" ht="12.75">
      <c r="A442" s="1" t="s">
        <v>11</v>
      </c>
      <c r="B442" t="str">
        <f>T("WO120 LAW ENFORCE &amp; SECURITY")</f>
        <v>WO120 LAW ENFORCE &amp; SECURITY</v>
      </c>
      <c r="C442" t="str">
        <f>T("1620 L STREET NW SUITE 1075")</f>
        <v>1620 L STREET NW SUITE 1075</v>
      </c>
      <c r="D442" t="s">
        <v>0</v>
      </c>
      <c r="E442" t="s">
        <v>0</v>
      </c>
      <c r="F442" t="s">
        <v>0</v>
      </c>
      <c r="G442" t="str">
        <f>T("WASHINGTON")</f>
        <v>WASHINGTON</v>
      </c>
      <c r="H442" t="str">
        <f>T("DC ")</f>
        <v>DC </v>
      </c>
      <c r="I442" s="1">
        <f>N(20036)</f>
        <v>20036</v>
      </c>
      <c r="J442" s="1" t="str">
        <f>T("202-452-5188")</f>
        <v>202-452-5188</v>
      </c>
      <c r="K442" s="1" t="str">
        <f>T("202-452-5141")</f>
        <v>202-452-5141</v>
      </c>
    </row>
    <row r="443" spans="1:11" ht="12.75">
      <c r="A443" s="1" t="s">
        <v>11</v>
      </c>
      <c r="B443" t="str">
        <f>T("WO120 LAW ENFORCE &amp; SECURITY")</f>
        <v>WO120 LAW ENFORCE &amp; SECURITY</v>
      </c>
      <c r="C443" t="str">
        <f>T("3833 S DEVELOPMENT AVE")</f>
        <v>3833 S DEVELOPMENT AVE</v>
      </c>
      <c r="D443" t="s">
        <v>0</v>
      </c>
      <c r="E443" t="s">
        <v>0</v>
      </c>
      <c r="F443" t="s">
        <v>0</v>
      </c>
      <c r="G443" t="str">
        <f>T("BOISE")</f>
        <v>BOISE</v>
      </c>
      <c r="H443" t="str">
        <f>T("ID ")</f>
        <v>ID </v>
      </c>
      <c r="I443" s="1">
        <f>N(83705)</f>
        <v>83705</v>
      </c>
      <c r="J443" s="1" t="str">
        <f>T("202-387-5126")</f>
        <v>202-387-5126</v>
      </c>
      <c r="K443" s="1" t="str">
        <f>T("202-387-5136")</f>
        <v>202-387-5136</v>
      </c>
    </row>
    <row r="444" spans="1:11" ht="12.75">
      <c r="A444" s="1" t="s">
        <v>11</v>
      </c>
      <c r="B444" t="str">
        <f>T("WO 270 FOREST &amp; WILDLAND MGT")</f>
        <v>WO 270 FOREST &amp; WILDLAND MGT</v>
      </c>
      <c r="C444" t="str">
        <f>T("1620 L STREET NW")</f>
        <v>1620 L STREET NW</v>
      </c>
      <c r="D444" t="s">
        <v>0</v>
      </c>
      <c r="E444" t="s">
        <v>0</v>
      </c>
      <c r="F444" t="s">
        <v>0</v>
      </c>
      <c r="G444" t="str">
        <f>T("WASHINGTON")</f>
        <v>WASHINGTON</v>
      </c>
      <c r="H444" t="str">
        <f>T("DC ")</f>
        <v>DC </v>
      </c>
      <c r="I444" s="1">
        <f>N(20036)</f>
        <v>20036</v>
      </c>
      <c r="J444" s="1">
        <f>N(2024525188)</f>
        <v>2024525188</v>
      </c>
      <c r="K444" s="1">
        <f>N(2024525141)</f>
        <v>2024525141</v>
      </c>
    </row>
    <row r="445" spans="1:11" ht="12.75">
      <c r="A445" s="1" t="s">
        <v>11</v>
      </c>
      <c r="B445" t="str">
        <f>T("AK970 DIV OF GEOGRAPHIC SRVCS")</f>
        <v>AK970 DIV OF GEOGRAPHIC SRVCS</v>
      </c>
      <c r="C445" t="str">
        <f aca="true" t="shared" si="104" ref="C445:C461">T("BUREAU OF LAND MANAGEMENT")</f>
        <v>BUREAU OF LAND MANAGEMENT</v>
      </c>
      <c r="D445" t="str">
        <f>T("6881 ABBOTT LOOP RD")</f>
        <v>6881 ABBOTT LOOP RD</v>
      </c>
      <c r="E445" t="s">
        <v>0</v>
      </c>
      <c r="F445" t="s">
        <v>0</v>
      </c>
      <c r="G445" t="str">
        <f>T("ANCHORAGE ")</f>
        <v>ANCHORAGE </v>
      </c>
      <c r="H445" t="str">
        <f aca="true" t="shared" si="105" ref="H445:H461">T("AK ")</f>
        <v>AK </v>
      </c>
      <c r="I445" s="1">
        <f>N(99507)</f>
        <v>99507</v>
      </c>
      <c r="J445" s="1" t="str">
        <f>T("907-267-1321")</f>
        <v>907-267-1321</v>
      </c>
      <c r="K445" s="1" t="s">
        <v>0</v>
      </c>
    </row>
    <row r="446" spans="1:11" ht="12.75">
      <c r="A446" s="1" t="s">
        <v>11</v>
      </c>
      <c r="B446" t="str">
        <f>T("AK311 ALSKA INTRAGNCY CORD CTR")</f>
        <v>AK311 ALSKA INTRAGNCY CORD CTR</v>
      </c>
      <c r="C446" t="str">
        <f t="shared" si="104"/>
        <v>BUREAU OF LAND MANAGEMENT</v>
      </c>
      <c r="D446" t="str">
        <f aca="true" t="shared" si="106" ref="D446:D463">T("PO BOX 35005")</f>
        <v>PO BOX 35005</v>
      </c>
      <c r="E446" t="s">
        <v>0</v>
      </c>
      <c r="F446" t="s">
        <v>0</v>
      </c>
      <c r="G446" t="str">
        <f aca="true" t="shared" si="107" ref="G446:G463">T("FT WAINWRIGHT")</f>
        <v>FT WAINWRIGHT</v>
      </c>
      <c r="H446" t="str">
        <f t="shared" si="105"/>
        <v>AK </v>
      </c>
      <c r="I446" s="1">
        <f aca="true" t="shared" si="108" ref="I446:I463">N(99703)</f>
        <v>99703</v>
      </c>
      <c r="J446" s="1">
        <f aca="true" t="shared" si="109" ref="J446:J463">N(9073565778)</f>
        <v>9073565778</v>
      </c>
      <c r="K446" s="1" t="s">
        <v>0</v>
      </c>
    </row>
    <row r="447" spans="1:11" ht="12.75">
      <c r="A447" s="1" t="s">
        <v>11</v>
      </c>
      <c r="B447" t="str">
        <f>T("AK315 AFS SOUTHRN FIRE MGT ZNE")</f>
        <v>AK315 AFS SOUTHRN FIRE MGT ZNE</v>
      </c>
      <c r="C447" t="str">
        <f t="shared" si="104"/>
        <v>BUREAU OF LAND MANAGEMENT</v>
      </c>
      <c r="D447" t="str">
        <f t="shared" si="106"/>
        <v>PO BOX 35005</v>
      </c>
      <c r="E447" t="s">
        <v>0</v>
      </c>
      <c r="F447" t="s">
        <v>0</v>
      </c>
      <c r="G447" t="str">
        <f t="shared" si="107"/>
        <v>FT WAINWRIGHT</v>
      </c>
      <c r="H447" t="str">
        <f t="shared" si="105"/>
        <v>AK </v>
      </c>
      <c r="I447" s="1">
        <f t="shared" si="108"/>
        <v>99703</v>
      </c>
      <c r="J447" s="1">
        <f t="shared" si="109"/>
        <v>9073565778</v>
      </c>
      <c r="K447" s="1" t="s">
        <v>0</v>
      </c>
    </row>
    <row r="448" spans="1:11" ht="12.75">
      <c r="A448" s="1" t="s">
        <v>11</v>
      </c>
      <c r="B448" t="str">
        <f>T("AK316 AFS MIL FIRE MGT ZONE")</f>
        <v>AK316 AFS MIL FIRE MGT ZONE</v>
      </c>
      <c r="C448" t="str">
        <f t="shared" si="104"/>
        <v>BUREAU OF LAND MANAGEMENT</v>
      </c>
      <c r="D448" t="str">
        <f t="shared" si="106"/>
        <v>PO BOX 35005</v>
      </c>
      <c r="E448" t="s">
        <v>0</v>
      </c>
      <c r="F448" t="s">
        <v>0</v>
      </c>
      <c r="G448" t="str">
        <f t="shared" si="107"/>
        <v>FT WAINWRIGHT</v>
      </c>
      <c r="H448" t="str">
        <f t="shared" si="105"/>
        <v>AK </v>
      </c>
      <c r="I448" s="1">
        <f t="shared" si="108"/>
        <v>99703</v>
      </c>
      <c r="J448" s="1">
        <f t="shared" si="109"/>
        <v>9073565778</v>
      </c>
      <c r="K448" s="1" t="s">
        <v>0</v>
      </c>
    </row>
    <row r="449" spans="1:11" ht="12.75">
      <c r="A449" s="1" t="s">
        <v>11</v>
      </c>
      <c r="B449" t="str">
        <f>T("AK317 AFS UPR YKON FRE MGT ZN")</f>
        <v>AK317 AFS UPR YKON FRE MGT ZN</v>
      </c>
      <c r="C449" t="str">
        <f t="shared" si="104"/>
        <v>BUREAU OF LAND MANAGEMENT</v>
      </c>
      <c r="D449" t="str">
        <f t="shared" si="106"/>
        <v>PO BOX 35005</v>
      </c>
      <c r="E449" t="s">
        <v>0</v>
      </c>
      <c r="F449" t="s">
        <v>0</v>
      </c>
      <c r="G449" t="str">
        <f t="shared" si="107"/>
        <v>FT WAINWRIGHT</v>
      </c>
      <c r="H449" t="str">
        <f t="shared" si="105"/>
        <v>AK </v>
      </c>
      <c r="I449" s="1">
        <f t="shared" si="108"/>
        <v>99703</v>
      </c>
      <c r="J449" s="1">
        <f t="shared" si="109"/>
        <v>9073565778</v>
      </c>
      <c r="K449" s="1" t="s">
        <v>0</v>
      </c>
    </row>
    <row r="450" spans="1:11" ht="12.75">
      <c r="A450" s="1" t="s">
        <v>11</v>
      </c>
      <c r="B450" t="str">
        <f>T("AK318 AFS TANANA FIRE MGT ZONE")</f>
        <v>AK318 AFS TANANA FIRE MGT ZONE</v>
      </c>
      <c r="C450" t="str">
        <f t="shared" si="104"/>
        <v>BUREAU OF LAND MANAGEMENT</v>
      </c>
      <c r="D450" t="str">
        <f t="shared" si="106"/>
        <v>PO BOX 35005</v>
      </c>
      <c r="E450" t="s">
        <v>0</v>
      </c>
      <c r="F450" t="s">
        <v>0</v>
      </c>
      <c r="G450" t="str">
        <f t="shared" si="107"/>
        <v>FT WAINWRIGHT</v>
      </c>
      <c r="H450" t="str">
        <f t="shared" si="105"/>
        <v>AK </v>
      </c>
      <c r="I450" s="1">
        <f t="shared" si="108"/>
        <v>99703</v>
      </c>
      <c r="J450" s="1">
        <f t="shared" si="109"/>
        <v>9073565778</v>
      </c>
      <c r="K450" s="1" t="s">
        <v>0</v>
      </c>
    </row>
    <row r="451" spans="1:11" ht="12.75">
      <c r="A451" s="1" t="s">
        <v>11</v>
      </c>
      <c r="B451" t="str">
        <f>T("AK319 AFS GALENA FIRE MGT ZONE")</f>
        <v>AK319 AFS GALENA FIRE MGT ZONE</v>
      </c>
      <c r="C451" t="str">
        <f t="shared" si="104"/>
        <v>BUREAU OF LAND MANAGEMENT</v>
      </c>
      <c r="D451" t="str">
        <f t="shared" si="106"/>
        <v>PO BOX 35005</v>
      </c>
      <c r="E451" t="s">
        <v>0</v>
      </c>
      <c r="F451" t="s">
        <v>0</v>
      </c>
      <c r="G451" t="str">
        <f t="shared" si="107"/>
        <v>FT WAINWRIGHT</v>
      </c>
      <c r="H451" t="str">
        <f t="shared" si="105"/>
        <v>AK </v>
      </c>
      <c r="I451" s="1">
        <f t="shared" si="108"/>
        <v>99703</v>
      </c>
      <c r="J451" s="1">
        <f t="shared" si="109"/>
        <v>9073565778</v>
      </c>
      <c r="K451" s="1" t="s">
        <v>0</v>
      </c>
    </row>
    <row r="452" spans="1:11" ht="12.75">
      <c r="A452" s="1" t="s">
        <v>11</v>
      </c>
      <c r="B452" t="str">
        <f>T("AK320 AFS SUPPORT SERVICES")</f>
        <v>AK320 AFS SUPPORT SERVICES</v>
      </c>
      <c r="C452" t="str">
        <f t="shared" si="104"/>
        <v>BUREAU OF LAND MANAGEMENT</v>
      </c>
      <c r="D452" t="str">
        <f t="shared" si="106"/>
        <v>PO BOX 35005</v>
      </c>
      <c r="E452" t="s">
        <v>0</v>
      </c>
      <c r="F452" t="s">
        <v>0</v>
      </c>
      <c r="G452" t="str">
        <f t="shared" si="107"/>
        <v>FT WAINWRIGHT</v>
      </c>
      <c r="H452" t="str">
        <f t="shared" si="105"/>
        <v>AK </v>
      </c>
      <c r="I452" s="1">
        <f t="shared" si="108"/>
        <v>99703</v>
      </c>
      <c r="J452" s="1">
        <f t="shared" si="109"/>
        <v>9073565778</v>
      </c>
      <c r="K452" s="1" t="s">
        <v>0</v>
      </c>
    </row>
    <row r="453" spans="1:11" ht="12.75">
      <c r="A453" s="1" t="s">
        <v>11</v>
      </c>
      <c r="B453" t="str">
        <f>T("AK321 AFS BR OF FACILITY OPS")</f>
        <v>AK321 AFS BR OF FACILITY OPS</v>
      </c>
      <c r="C453" t="str">
        <f t="shared" si="104"/>
        <v>BUREAU OF LAND MANAGEMENT</v>
      </c>
      <c r="D453" t="str">
        <f t="shared" si="106"/>
        <v>PO BOX 35005</v>
      </c>
      <c r="E453" t="s">
        <v>0</v>
      </c>
      <c r="F453" t="s">
        <v>0</v>
      </c>
      <c r="G453" t="str">
        <f t="shared" si="107"/>
        <v>FT WAINWRIGHT</v>
      </c>
      <c r="H453" t="str">
        <f t="shared" si="105"/>
        <v>AK </v>
      </c>
      <c r="I453" s="1">
        <f t="shared" si="108"/>
        <v>99703</v>
      </c>
      <c r="J453" s="1">
        <f t="shared" si="109"/>
        <v>9073565778</v>
      </c>
      <c r="K453" s="1" t="s">
        <v>0</v>
      </c>
    </row>
    <row r="454" spans="1:11" ht="12.75">
      <c r="A454" s="1" t="s">
        <v>11</v>
      </c>
      <c r="B454" t="str">
        <f>T("AK322 AFS BRANCH OF SUPPLY")</f>
        <v>AK322 AFS BRANCH OF SUPPLY</v>
      </c>
      <c r="C454" t="str">
        <f t="shared" si="104"/>
        <v>BUREAU OF LAND MANAGEMENT</v>
      </c>
      <c r="D454" t="str">
        <f t="shared" si="106"/>
        <v>PO BOX 35005</v>
      </c>
      <c r="E454" t="s">
        <v>0</v>
      </c>
      <c r="F454" t="s">
        <v>0</v>
      </c>
      <c r="G454" t="str">
        <f t="shared" si="107"/>
        <v>FT WAINWRIGHT</v>
      </c>
      <c r="H454" t="str">
        <f t="shared" si="105"/>
        <v>AK </v>
      </c>
      <c r="I454" s="1">
        <f t="shared" si="108"/>
        <v>99703</v>
      </c>
      <c r="J454" s="1">
        <f t="shared" si="109"/>
        <v>9073565778</v>
      </c>
      <c r="K454" s="1" t="s">
        <v>0</v>
      </c>
    </row>
    <row r="455" spans="1:11" ht="12.75">
      <c r="A455" s="1" t="s">
        <v>11</v>
      </c>
      <c r="B455" t="str">
        <f>T("AK323 AFS BR OF DINING HALL")</f>
        <v>AK323 AFS BR OF DINING HALL</v>
      </c>
      <c r="C455" t="str">
        <f t="shared" si="104"/>
        <v>BUREAU OF LAND MANAGEMENT</v>
      </c>
      <c r="D455" t="str">
        <f t="shared" si="106"/>
        <v>PO BOX 35005</v>
      </c>
      <c r="E455" t="s">
        <v>0</v>
      </c>
      <c r="F455" t="s">
        <v>0</v>
      </c>
      <c r="G455" t="str">
        <f t="shared" si="107"/>
        <v>FT WAINWRIGHT</v>
      </c>
      <c r="H455" t="str">
        <f t="shared" si="105"/>
        <v>AK </v>
      </c>
      <c r="I455" s="1">
        <f t="shared" si="108"/>
        <v>99703</v>
      </c>
      <c r="J455" s="1">
        <f t="shared" si="109"/>
        <v>9073565778</v>
      </c>
      <c r="K455" s="1" t="s">
        <v>0</v>
      </c>
    </row>
    <row r="456" spans="1:11" ht="12.75">
      <c r="A456" s="1" t="s">
        <v>11</v>
      </c>
      <c r="B456" t="str">
        <f>T("AK330 AFS INFORMATION SYSTEMS")</f>
        <v>AK330 AFS INFORMATION SYSTEMS</v>
      </c>
      <c r="C456" t="str">
        <f t="shared" si="104"/>
        <v>BUREAU OF LAND MANAGEMENT</v>
      </c>
      <c r="D456" t="str">
        <f t="shared" si="106"/>
        <v>PO BOX 35005</v>
      </c>
      <c r="E456" t="s">
        <v>0</v>
      </c>
      <c r="F456" t="s">
        <v>0</v>
      </c>
      <c r="G456" t="str">
        <f t="shared" si="107"/>
        <v>FT WAINWRIGHT</v>
      </c>
      <c r="H456" t="str">
        <f t="shared" si="105"/>
        <v>AK </v>
      </c>
      <c r="I456" s="1">
        <f t="shared" si="108"/>
        <v>99703</v>
      </c>
      <c r="J456" s="1">
        <f t="shared" si="109"/>
        <v>9073565778</v>
      </c>
      <c r="K456" s="1" t="s">
        <v>0</v>
      </c>
    </row>
    <row r="457" spans="1:11" ht="12.75">
      <c r="A457" s="1" t="s">
        <v>11</v>
      </c>
      <c r="B457" t="str">
        <f>T("AK331 AFS BR OF COMMUNICATIONS")</f>
        <v>AK331 AFS BR OF COMMUNICATIONS</v>
      </c>
      <c r="C457" t="str">
        <f t="shared" si="104"/>
        <v>BUREAU OF LAND MANAGEMENT</v>
      </c>
      <c r="D457" t="str">
        <f t="shared" si="106"/>
        <v>PO BOX 35005</v>
      </c>
      <c r="E457" t="s">
        <v>0</v>
      </c>
      <c r="F457" t="s">
        <v>0</v>
      </c>
      <c r="G457" t="str">
        <f t="shared" si="107"/>
        <v>FT WAINWRIGHT</v>
      </c>
      <c r="H457" t="str">
        <f t="shared" si="105"/>
        <v>AK </v>
      </c>
      <c r="I457" s="1">
        <f t="shared" si="108"/>
        <v>99703</v>
      </c>
      <c r="J457" s="1">
        <f t="shared" si="109"/>
        <v>9073565778</v>
      </c>
      <c r="K457" s="1" t="s">
        <v>0</v>
      </c>
    </row>
    <row r="458" spans="1:11" ht="12.75">
      <c r="A458" s="1" t="s">
        <v>11</v>
      </c>
      <c r="B458" t="str">
        <f>T("AK332 AFS BR OF TECH SYSTEMS")</f>
        <v>AK332 AFS BR OF TECH SYSTEMS</v>
      </c>
      <c r="C458" t="str">
        <f t="shared" si="104"/>
        <v>BUREAU OF LAND MANAGEMENT</v>
      </c>
      <c r="D458" t="str">
        <f t="shared" si="106"/>
        <v>PO BOX 35005</v>
      </c>
      <c r="E458" t="s">
        <v>0</v>
      </c>
      <c r="F458" t="s">
        <v>0</v>
      </c>
      <c r="G458" t="str">
        <f t="shared" si="107"/>
        <v>FT WAINWRIGHT</v>
      </c>
      <c r="H458" t="str">
        <f t="shared" si="105"/>
        <v>AK </v>
      </c>
      <c r="I458" s="1">
        <f t="shared" si="108"/>
        <v>99703</v>
      </c>
      <c r="J458" s="1">
        <f t="shared" si="109"/>
        <v>9073565778</v>
      </c>
      <c r="K458" s="1" t="s">
        <v>0</v>
      </c>
    </row>
    <row r="459" spans="1:11" ht="12.75">
      <c r="A459" s="1" t="s">
        <v>11</v>
      </c>
      <c r="B459" t="str">
        <f>T("AK350 AFS FIRE OPERATIONS")</f>
        <v>AK350 AFS FIRE OPERATIONS</v>
      </c>
      <c r="C459" t="str">
        <f t="shared" si="104"/>
        <v>BUREAU OF LAND MANAGEMENT</v>
      </c>
      <c r="D459" t="str">
        <f t="shared" si="106"/>
        <v>PO BOX 35005</v>
      </c>
      <c r="E459" t="s">
        <v>0</v>
      </c>
      <c r="F459" t="s">
        <v>0</v>
      </c>
      <c r="G459" t="str">
        <f t="shared" si="107"/>
        <v>FT WAINWRIGHT</v>
      </c>
      <c r="H459" t="str">
        <f t="shared" si="105"/>
        <v>AK </v>
      </c>
      <c r="I459" s="1">
        <f t="shared" si="108"/>
        <v>99703</v>
      </c>
      <c r="J459" s="1">
        <f t="shared" si="109"/>
        <v>9073565778</v>
      </c>
      <c r="K459" s="1" t="s">
        <v>0</v>
      </c>
    </row>
    <row r="460" spans="1:11" ht="12.75">
      <c r="A460" s="1" t="s">
        <v>11</v>
      </c>
      <c r="B460" t="str">
        <f>T("AK352 AFS BR OF FIRE MGT RSRCS")</f>
        <v>AK352 AFS BR OF FIRE MGT RSRCS</v>
      </c>
      <c r="C460" t="str">
        <f t="shared" si="104"/>
        <v>BUREAU OF LAND MANAGEMENT</v>
      </c>
      <c r="D460" t="str">
        <f t="shared" si="106"/>
        <v>PO BOX 35005</v>
      </c>
      <c r="E460" t="s">
        <v>0</v>
      </c>
      <c r="F460" t="s">
        <v>0</v>
      </c>
      <c r="G460" t="str">
        <f t="shared" si="107"/>
        <v>FT WAINWRIGHT</v>
      </c>
      <c r="H460" t="str">
        <f t="shared" si="105"/>
        <v>AK </v>
      </c>
      <c r="I460" s="1">
        <f t="shared" si="108"/>
        <v>99703</v>
      </c>
      <c r="J460" s="1">
        <f t="shared" si="109"/>
        <v>9073565778</v>
      </c>
      <c r="K460" s="1" t="s">
        <v>0</v>
      </c>
    </row>
    <row r="461" spans="1:11" ht="12.75">
      <c r="A461" s="1" t="s">
        <v>11</v>
      </c>
      <c r="B461" t="str">
        <f>T("AK353 AFS BR SMOKEJUMPER MGT")</f>
        <v>AK353 AFS BR SMOKEJUMPER MGT</v>
      </c>
      <c r="C461" t="str">
        <f t="shared" si="104"/>
        <v>BUREAU OF LAND MANAGEMENT</v>
      </c>
      <c r="D461" t="str">
        <f t="shared" si="106"/>
        <v>PO BOX 35005</v>
      </c>
      <c r="E461" t="s">
        <v>0</v>
      </c>
      <c r="F461" t="s">
        <v>0</v>
      </c>
      <c r="G461" t="str">
        <f t="shared" si="107"/>
        <v>FT WAINWRIGHT</v>
      </c>
      <c r="H461" t="str">
        <f t="shared" si="105"/>
        <v>AK </v>
      </c>
      <c r="I461" s="1">
        <f t="shared" si="108"/>
        <v>99703</v>
      </c>
      <c r="J461" s="1">
        <f t="shared" si="109"/>
        <v>9073565778</v>
      </c>
      <c r="K461" s="1" t="s">
        <v>0</v>
      </c>
    </row>
    <row r="462" spans="1:11" ht="12.75">
      <c r="A462" s="1" t="s">
        <v>11</v>
      </c>
      <c r="B462" t="str">
        <f>T("AK360 AVIATION")</f>
        <v>AK360 AVIATION</v>
      </c>
      <c r="C462" t="str">
        <f>T("BUREAU OF LAND MANAGEMENT")</f>
        <v>BUREAU OF LAND MANAGEMENT</v>
      </c>
      <c r="D462" t="str">
        <f t="shared" si="106"/>
        <v>PO BOX 35005</v>
      </c>
      <c r="E462" t="s">
        <v>0</v>
      </c>
      <c r="F462" t="s">
        <v>0</v>
      </c>
      <c r="G462" t="str">
        <f t="shared" si="107"/>
        <v>FT WAINWRIGHT</v>
      </c>
      <c r="H462" t="str">
        <f>T("AK ")</f>
        <v>AK </v>
      </c>
      <c r="I462" s="1">
        <f t="shared" si="108"/>
        <v>99703</v>
      </c>
      <c r="J462" s="1">
        <f t="shared" si="109"/>
        <v>9073565778</v>
      </c>
      <c r="K462" s="1" t="s">
        <v>0</v>
      </c>
    </row>
    <row r="463" spans="1:11" ht="12.75">
      <c r="A463" s="1" t="s">
        <v>11</v>
      </c>
      <c r="B463" t="str">
        <f>T("AK361 AFS BR PILOT OPERATION")</f>
        <v>AK361 AFS BR PILOT OPERATION</v>
      </c>
      <c r="C463" t="str">
        <f>T("BUREAU OF LAND MANAGEMENT")</f>
        <v>BUREAU OF LAND MANAGEMENT</v>
      </c>
      <c r="D463" t="str">
        <f t="shared" si="106"/>
        <v>PO BOX 35005</v>
      </c>
      <c r="E463" t="s">
        <v>0</v>
      </c>
      <c r="F463" t="s">
        <v>0</v>
      </c>
      <c r="G463" t="str">
        <f t="shared" si="107"/>
        <v>FT WAINWRIGHT</v>
      </c>
      <c r="H463" t="str">
        <f>T("AK ")</f>
        <v>AK </v>
      </c>
      <c r="I463" s="1">
        <f t="shared" si="108"/>
        <v>99703</v>
      </c>
      <c r="J463" s="1">
        <f t="shared" si="109"/>
        <v>9073565778</v>
      </c>
      <c r="K463" s="1" t="s">
        <v>0</v>
      </c>
    </row>
    <row r="464" spans="1:11" ht="12.75">
      <c r="A464" s="1" t="s">
        <v>11</v>
      </c>
      <c r="B464" t="str">
        <f>T("AK362 AFS BR OF RAMP SERVICES")</f>
        <v>AK362 AFS BR OF RAMP SERVICES</v>
      </c>
      <c r="C464" t="str">
        <f>T("BUREAU OF LAND MANAGEMENT")</f>
        <v>BUREAU OF LAND MANAGEMENT</v>
      </c>
      <c r="D464" t="str">
        <f>T("PO BOX 35005")</f>
        <v>PO BOX 35005</v>
      </c>
      <c r="E464" t="s">
        <v>0</v>
      </c>
      <c r="F464" t="s">
        <v>0</v>
      </c>
      <c r="G464" t="str">
        <f>T("FT WAINWRIGHT")</f>
        <v>FT WAINWRIGHT</v>
      </c>
      <c r="H464" t="str">
        <f>T("AK ")</f>
        <v>AK </v>
      </c>
      <c r="I464" s="1">
        <f>N(99703)</f>
        <v>99703</v>
      </c>
      <c r="J464" s="1">
        <f>N(9073565778)</f>
        <v>9073565778</v>
      </c>
      <c r="K464" s="1" t="s">
        <v>0</v>
      </c>
    </row>
    <row r="465" spans="1:11" ht="12.75">
      <c r="A465" s="1" t="s">
        <v>11</v>
      </c>
      <c r="B465" t="str">
        <f>T("AK970 DIV OF GEOGRPHC SCIENCES")</f>
        <v>AK970 DIV OF GEOGRPHC SCIENCES</v>
      </c>
      <c r="C465" t="str">
        <f>T("222 WEST 7TH AVE")</f>
        <v>222 WEST 7TH AVE</v>
      </c>
      <c r="D465" t="str">
        <f>T("NO 13")</f>
        <v>NO 13</v>
      </c>
      <c r="E465" t="s">
        <v>0</v>
      </c>
      <c r="F465" t="s">
        <v>0</v>
      </c>
      <c r="G465" t="str">
        <f>T("ANCHORAGE")</f>
        <v>ANCHORAGE</v>
      </c>
      <c r="H465" t="str">
        <f>T("AK ")</f>
        <v>AK </v>
      </c>
      <c r="I465" s="1">
        <f>N(99513)</f>
        <v>99513</v>
      </c>
      <c r="J465" s="1" t="str">
        <f>T("907-271-5045")</f>
        <v>907-271-5045</v>
      </c>
      <c r="K465" s="1" t="str">
        <f>T("907-271-5020")</f>
        <v>907-271-5020</v>
      </c>
    </row>
    <row r="466" spans="1:11" ht="12.75">
      <c r="A466" s="1" t="s">
        <v>11</v>
      </c>
      <c r="B466" t="str">
        <f>T("ID100 BOISE DISTRICT OFFICE")</f>
        <v>ID100 BOISE DISTRICT OFFICE</v>
      </c>
      <c r="C466" t="str">
        <f>T("13875 VERNAL WAY")</f>
        <v>13875 VERNAL WAY</v>
      </c>
      <c r="D466" t="s">
        <v>0</v>
      </c>
      <c r="E466" t="s">
        <v>0</v>
      </c>
      <c r="F466" t="s">
        <v>0</v>
      </c>
      <c r="G466" t="str">
        <f>T("BOISE")</f>
        <v>BOISE</v>
      </c>
      <c r="H466" t="str">
        <f>T("ID ")</f>
        <v>ID </v>
      </c>
      <c r="I466" s="1">
        <f>N(83709)</f>
        <v>83709</v>
      </c>
      <c r="J466" s="1">
        <f aca="true" t="shared" si="110" ref="J466:J473">N(2083733910)</f>
        <v>2083733910</v>
      </c>
      <c r="K466" s="1">
        <f>N(2083733915)</f>
        <v>2083733915</v>
      </c>
    </row>
    <row r="467" spans="1:11" ht="12.75">
      <c r="A467" s="1" t="s">
        <v>11</v>
      </c>
      <c r="B467" t="str">
        <f>T("ID101 DIVISION OF ADMIN SERV")</f>
        <v>ID101 DIVISION OF ADMIN SERV</v>
      </c>
      <c r="C467" t="str">
        <f>T("13875 VERNAL WAY")</f>
        <v>13875 VERNAL WAY</v>
      </c>
      <c r="D467" t="s">
        <v>0</v>
      </c>
      <c r="E467" t="s">
        <v>0</v>
      </c>
      <c r="F467" t="s">
        <v>0</v>
      </c>
      <c r="G467" t="str">
        <f>T("BOISE")</f>
        <v>BOISE</v>
      </c>
      <c r="H467" t="str">
        <f>T("ID ")</f>
        <v>ID </v>
      </c>
      <c r="I467" s="1">
        <f>N(83709)</f>
        <v>83709</v>
      </c>
      <c r="J467" s="1">
        <f t="shared" si="110"/>
        <v>2083733910</v>
      </c>
      <c r="K467" s="1">
        <f>N(2083733915)</f>
        <v>2083733915</v>
      </c>
    </row>
    <row r="468" spans="1:11" ht="12.75">
      <c r="A468" s="1" t="s">
        <v>11</v>
      </c>
      <c r="B468" t="str">
        <f>T("ID102 DIVISION OF OPERATIONS")</f>
        <v>ID102 DIVISION OF OPERATIONS</v>
      </c>
      <c r="C468" t="str">
        <f>T("13875 VERNAL WAY")</f>
        <v>13875 VERNAL WAY</v>
      </c>
      <c r="D468" t="s">
        <v>0</v>
      </c>
      <c r="E468" t="s">
        <v>0</v>
      </c>
      <c r="F468" t="s">
        <v>0</v>
      </c>
      <c r="G468" t="str">
        <f>T("BOISE")</f>
        <v>BOISE</v>
      </c>
      <c r="H468" t="str">
        <f>T("ID ")</f>
        <v>ID </v>
      </c>
      <c r="I468" s="1">
        <f>N(83709)</f>
        <v>83709</v>
      </c>
      <c r="J468" s="1">
        <f t="shared" si="110"/>
        <v>2083733910</v>
      </c>
      <c r="K468" s="1">
        <f>N(2083733915)</f>
        <v>2083733915</v>
      </c>
    </row>
    <row r="469" spans="1:11" ht="12.75">
      <c r="A469" s="1" t="s">
        <v>11</v>
      </c>
      <c r="B469" t="str">
        <f>T("ID104 DIVISION OF FIRE &amp; AVIAT")</f>
        <v>ID104 DIVISION OF FIRE &amp; AVIAT</v>
      </c>
      <c r="C469" t="str">
        <f>T("13875 VERNAL WAY")</f>
        <v>13875 VERNAL WAY</v>
      </c>
      <c r="D469" t="s">
        <v>0</v>
      </c>
      <c r="E469" t="s">
        <v>0</v>
      </c>
      <c r="F469" t="s">
        <v>0</v>
      </c>
      <c r="G469" t="str">
        <f>T("BOISE")</f>
        <v>BOISE</v>
      </c>
      <c r="H469" t="str">
        <f>T("ID ")</f>
        <v>ID </v>
      </c>
      <c r="I469" s="1">
        <f>N(83709)</f>
        <v>83709</v>
      </c>
      <c r="J469" s="1">
        <f t="shared" si="110"/>
        <v>2083733910</v>
      </c>
      <c r="K469" s="1">
        <f>N(2083733915)</f>
        <v>2083733915</v>
      </c>
    </row>
    <row r="470" spans="1:11" ht="12.75">
      <c r="A470" s="1" t="s">
        <v>11</v>
      </c>
      <c r="B470" t="str">
        <f>T("ID110 FOUR RIVERS FIELD OFF")</f>
        <v>ID110 FOUR RIVERS FIELD OFF</v>
      </c>
      <c r="C470" t="str">
        <f aca="true" t="shared" si="111" ref="C470:C527">T("13875 VERNAL WAY")</f>
        <v>13875 VERNAL WAY</v>
      </c>
      <c r="D470" t="s">
        <v>0</v>
      </c>
      <c r="E470" t="s">
        <v>0</v>
      </c>
      <c r="F470" t="s">
        <v>0</v>
      </c>
      <c r="G470" t="str">
        <f aca="true" t="shared" si="112" ref="G470:G527">T("BOISE")</f>
        <v>BOISE</v>
      </c>
      <c r="H470" t="str">
        <f aca="true" t="shared" si="113" ref="H470:H527">T("ID ")</f>
        <v>ID </v>
      </c>
      <c r="I470" s="1">
        <f aca="true" t="shared" si="114" ref="I470:I527">N(83709)</f>
        <v>83709</v>
      </c>
      <c r="J470" s="1">
        <f t="shared" si="110"/>
        <v>2083733910</v>
      </c>
      <c r="K470" s="1">
        <f aca="true" t="shared" si="115" ref="K470:K527">N(2083733915)</f>
        <v>2083733915</v>
      </c>
    </row>
    <row r="471" spans="1:11" ht="12.75">
      <c r="A471" s="1" t="s">
        <v>11</v>
      </c>
      <c r="B471" t="str">
        <f>T("ID111 BIRDS OF PREY NAT CONS A")</f>
        <v>ID111 BIRDS OF PREY NAT CONS A</v>
      </c>
      <c r="C471" t="str">
        <f t="shared" si="111"/>
        <v>13875 VERNAL WAY</v>
      </c>
      <c r="D471" t="s">
        <v>0</v>
      </c>
      <c r="E471" t="s">
        <v>0</v>
      </c>
      <c r="F471" t="s">
        <v>0</v>
      </c>
      <c r="G471" t="str">
        <f t="shared" si="112"/>
        <v>BOISE</v>
      </c>
      <c r="H471" t="str">
        <f t="shared" si="113"/>
        <v>ID </v>
      </c>
      <c r="I471" s="1">
        <f t="shared" si="114"/>
        <v>83709</v>
      </c>
      <c r="J471" s="1">
        <f t="shared" si="110"/>
        <v>2083733910</v>
      </c>
      <c r="K471" s="1">
        <f t="shared" si="115"/>
        <v>2083733915</v>
      </c>
    </row>
    <row r="472" spans="1:11" ht="12.75">
      <c r="A472" s="1" t="s">
        <v>11</v>
      </c>
      <c r="B472" t="str">
        <f>T("ID120 BRUNEAU FIELD OFFICE")</f>
        <v>ID120 BRUNEAU FIELD OFFICE</v>
      </c>
      <c r="C472" t="str">
        <f t="shared" si="111"/>
        <v>13875 VERNAL WAY</v>
      </c>
      <c r="D472" t="s">
        <v>0</v>
      </c>
      <c r="E472" t="s">
        <v>0</v>
      </c>
      <c r="F472" t="s">
        <v>0</v>
      </c>
      <c r="G472" t="str">
        <f t="shared" si="112"/>
        <v>BOISE</v>
      </c>
      <c r="H472" t="str">
        <f t="shared" si="113"/>
        <v>ID </v>
      </c>
      <c r="I472" s="1">
        <f t="shared" si="114"/>
        <v>83709</v>
      </c>
      <c r="J472" s="1">
        <f t="shared" si="110"/>
        <v>2083733910</v>
      </c>
      <c r="K472" s="1">
        <f t="shared" si="115"/>
        <v>2083733915</v>
      </c>
    </row>
    <row r="473" spans="1:11" ht="12.75">
      <c r="A473" s="1" t="s">
        <v>11</v>
      </c>
      <c r="B473" t="str">
        <f>T("ID130 OWYHEE FIELD OFFICE")</f>
        <v>ID130 OWYHEE FIELD OFFICE</v>
      </c>
      <c r="C473" t="str">
        <f t="shared" si="111"/>
        <v>13875 VERNAL WAY</v>
      </c>
      <c r="D473" t="s">
        <v>0</v>
      </c>
      <c r="E473" t="s">
        <v>0</v>
      </c>
      <c r="F473" t="s">
        <v>0</v>
      </c>
      <c r="G473" t="str">
        <f t="shared" si="112"/>
        <v>BOISE</v>
      </c>
      <c r="H473" t="str">
        <f t="shared" si="113"/>
        <v>ID </v>
      </c>
      <c r="I473" s="1">
        <f t="shared" si="114"/>
        <v>83709</v>
      </c>
      <c r="J473" s="1">
        <f t="shared" si="110"/>
        <v>2083733910</v>
      </c>
      <c r="K473" s="1">
        <f t="shared" si="115"/>
        <v>2083733915</v>
      </c>
    </row>
    <row r="474" spans="1:11" ht="12.75">
      <c r="A474" s="1" t="s">
        <v>11</v>
      </c>
      <c r="B474" t="str">
        <f>T("ID200 TWIN FALLS DIST OFF")</f>
        <v>ID200 TWIN FALLS DIST OFF</v>
      </c>
      <c r="C474" t="str">
        <f t="shared" si="111"/>
        <v>13875 VERNAL WAY</v>
      </c>
      <c r="D474" t="s">
        <v>0</v>
      </c>
      <c r="E474" t="s">
        <v>0</v>
      </c>
      <c r="F474" t="s">
        <v>0</v>
      </c>
      <c r="G474" t="str">
        <f t="shared" si="112"/>
        <v>BOISE</v>
      </c>
      <c r="H474" t="str">
        <f t="shared" si="113"/>
        <v>ID </v>
      </c>
      <c r="I474" s="1">
        <f t="shared" si="114"/>
        <v>83709</v>
      </c>
      <c r="J474" s="1">
        <f>N(2083733911)</f>
        <v>2083733911</v>
      </c>
      <c r="K474" s="1">
        <f t="shared" si="115"/>
        <v>2083733915</v>
      </c>
    </row>
    <row r="475" spans="1:11" ht="12.75">
      <c r="A475" s="1" t="s">
        <v>11</v>
      </c>
      <c r="B475" t="str">
        <f>T("ID201 DIVISION OF ADMIN SERV")</f>
        <v>ID201 DIVISION OF ADMIN SERV</v>
      </c>
      <c r="C475" t="str">
        <f t="shared" si="111"/>
        <v>13875 VERNAL WAY</v>
      </c>
      <c r="D475" t="s">
        <v>0</v>
      </c>
      <c r="E475" t="s">
        <v>0</v>
      </c>
      <c r="F475" t="s">
        <v>0</v>
      </c>
      <c r="G475" t="str">
        <f t="shared" si="112"/>
        <v>BOISE</v>
      </c>
      <c r="H475" t="str">
        <f t="shared" si="113"/>
        <v>ID </v>
      </c>
      <c r="I475" s="1">
        <f t="shared" si="114"/>
        <v>83709</v>
      </c>
      <c r="J475" s="1">
        <f aca="true" t="shared" si="116" ref="J475:J481">N(2083733910)</f>
        <v>2083733910</v>
      </c>
      <c r="K475" s="1">
        <f t="shared" si="115"/>
        <v>2083733915</v>
      </c>
    </row>
    <row r="476" spans="1:11" ht="12.75">
      <c r="A476" s="1" t="s">
        <v>11</v>
      </c>
      <c r="B476" t="str">
        <f>T("ID202 DIVISION OF OPERATIONS")</f>
        <v>ID202 DIVISION OF OPERATIONS</v>
      </c>
      <c r="C476" t="str">
        <f t="shared" si="111"/>
        <v>13875 VERNAL WAY</v>
      </c>
      <c r="D476" t="s">
        <v>0</v>
      </c>
      <c r="E476" t="s">
        <v>0</v>
      </c>
      <c r="F476" t="s">
        <v>0</v>
      </c>
      <c r="G476" t="str">
        <f t="shared" si="112"/>
        <v>BOISE</v>
      </c>
      <c r="H476" t="str">
        <f t="shared" si="113"/>
        <v>ID </v>
      </c>
      <c r="I476" s="1">
        <f t="shared" si="114"/>
        <v>83709</v>
      </c>
      <c r="J476" s="1">
        <f t="shared" si="116"/>
        <v>2083733910</v>
      </c>
      <c r="K476" s="1">
        <f t="shared" si="115"/>
        <v>2083733915</v>
      </c>
    </row>
    <row r="477" spans="1:11" ht="12.75">
      <c r="A477" s="1" t="s">
        <v>11</v>
      </c>
      <c r="B477" t="str">
        <f>T("ID204 DIV OF FIRE &amp; AVIATION")</f>
        <v>ID204 DIV OF FIRE &amp; AVIATION</v>
      </c>
      <c r="C477" t="str">
        <f t="shared" si="111"/>
        <v>13875 VERNAL WAY</v>
      </c>
      <c r="D477" t="s">
        <v>0</v>
      </c>
      <c r="E477" t="s">
        <v>0</v>
      </c>
      <c r="F477" t="s">
        <v>0</v>
      </c>
      <c r="G477" t="str">
        <f t="shared" si="112"/>
        <v>BOISE</v>
      </c>
      <c r="H477" t="str">
        <f t="shared" si="113"/>
        <v>ID </v>
      </c>
      <c r="I477" s="1">
        <f t="shared" si="114"/>
        <v>83709</v>
      </c>
      <c r="J477" s="1">
        <f t="shared" si="116"/>
        <v>2083733910</v>
      </c>
      <c r="K477" s="1">
        <f t="shared" si="115"/>
        <v>2083733915</v>
      </c>
    </row>
    <row r="478" spans="1:11" ht="12.75">
      <c r="A478" s="1" t="s">
        <v>11</v>
      </c>
      <c r="B478" t="str">
        <f>T("ID210 JARBIDGE FIELD OFF")</f>
        <v>ID210 JARBIDGE FIELD OFF</v>
      </c>
      <c r="C478" t="str">
        <f t="shared" si="111"/>
        <v>13875 VERNAL WAY</v>
      </c>
      <c r="D478" t="s">
        <v>0</v>
      </c>
      <c r="E478" t="s">
        <v>0</v>
      </c>
      <c r="F478" t="s">
        <v>0</v>
      </c>
      <c r="G478" t="str">
        <f t="shared" si="112"/>
        <v>BOISE</v>
      </c>
      <c r="H478" t="str">
        <f t="shared" si="113"/>
        <v>ID </v>
      </c>
      <c r="I478" s="1">
        <f t="shared" si="114"/>
        <v>83709</v>
      </c>
      <c r="J478" s="1">
        <f t="shared" si="116"/>
        <v>2083733910</v>
      </c>
      <c r="K478" s="1">
        <f t="shared" si="115"/>
        <v>2083733915</v>
      </c>
    </row>
    <row r="479" spans="1:11" ht="12.75">
      <c r="A479" s="1" t="s">
        <v>11</v>
      </c>
      <c r="B479" t="str">
        <f>T("ID220 BURLEY FIELD OFFICE")</f>
        <v>ID220 BURLEY FIELD OFFICE</v>
      </c>
      <c r="C479" t="str">
        <f t="shared" si="111"/>
        <v>13875 VERNAL WAY</v>
      </c>
      <c r="D479" t="s">
        <v>0</v>
      </c>
      <c r="E479" t="s">
        <v>0</v>
      </c>
      <c r="F479" t="s">
        <v>0</v>
      </c>
      <c r="G479" t="str">
        <f t="shared" si="112"/>
        <v>BOISE</v>
      </c>
      <c r="H479" t="str">
        <f t="shared" si="113"/>
        <v>ID </v>
      </c>
      <c r="I479" s="1">
        <f t="shared" si="114"/>
        <v>83709</v>
      </c>
      <c r="J479" s="1">
        <f t="shared" si="116"/>
        <v>2083733910</v>
      </c>
      <c r="K479" s="1">
        <f t="shared" si="115"/>
        <v>2083733915</v>
      </c>
    </row>
    <row r="480" spans="1:11" ht="12.75">
      <c r="A480" s="1" t="s">
        <v>11</v>
      </c>
      <c r="B480" t="str">
        <f>T("ID230 SHOSHONE FIELD OFFICE")</f>
        <v>ID230 SHOSHONE FIELD OFFICE</v>
      </c>
      <c r="C480" t="str">
        <f t="shared" si="111"/>
        <v>13875 VERNAL WAY</v>
      </c>
      <c r="D480" t="s">
        <v>0</v>
      </c>
      <c r="E480" t="s">
        <v>0</v>
      </c>
      <c r="F480" t="s">
        <v>0</v>
      </c>
      <c r="G480" t="str">
        <f t="shared" si="112"/>
        <v>BOISE</v>
      </c>
      <c r="H480" t="str">
        <f t="shared" si="113"/>
        <v>ID </v>
      </c>
      <c r="I480" s="1">
        <f t="shared" si="114"/>
        <v>83709</v>
      </c>
      <c r="J480" s="1">
        <f t="shared" si="116"/>
        <v>2083733910</v>
      </c>
      <c r="K480" s="1">
        <f t="shared" si="115"/>
        <v>2083733915</v>
      </c>
    </row>
    <row r="481" spans="1:11" ht="12.75">
      <c r="A481" s="1" t="s">
        <v>11</v>
      </c>
      <c r="B481" t="str">
        <f>T("ID301 DIVISION OF ADMIN SERV")</f>
        <v>ID301 DIVISION OF ADMIN SERV</v>
      </c>
      <c r="C481" t="str">
        <f t="shared" si="111"/>
        <v>13875 VERNAL WAY</v>
      </c>
      <c r="D481" t="s">
        <v>0</v>
      </c>
      <c r="E481" t="s">
        <v>0</v>
      </c>
      <c r="F481" t="s">
        <v>0</v>
      </c>
      <c r="G481" t="str">
        <f t="shared" si="112"/>
        <v>BOISE</v>
      </c>
      <c r="H481" t="str">
        <f t="shared" si="113"/>
        <v>ID </v>
      </c>
      <c r="I481" s="1">
        <f t="shared" si="114"/>
        <v>83709</v>
      </c>
      <c r="J481" s="1">
        <f t="shared" si="116"/>
        <v>2083733910</v>
      </c>
      <c r="K481" s="1">
        <f t="shared" si="115"/>
        <v>2083733915</v>
      </c>
    </row>
    <row r="482" spans="1:11" ht="12.75">
      <c r="A482" s="1" t="s">
        <v>11</v>
      </c>
      <c r="B482" t="str">
        <f>T("ID302 DIVISION OF OPERATIONS")</f>
        <v>ID302 DIVISION OF OPERATIONS</v>
      </c>
      <c r="C482" t="str">
        <f t="shared" si="111"/>
        <v>13875 VERNAL WAY</v>
      </c>
      <c r="D482" t="s">
        <v>0</v>
      </c>
      <c r="E482" t="s">
        <v>0</v>
      </c>
      <c r="F482" t="s">
        <v>0</v>
      </c>
      <c r="G482" t="str">
        <f t="shared" si="112"/>
        <v>BOISE</v>
      </c>
      <c r="H482" t="str">
        <f t="shared" si="113"/>
        <v>ID </v>
      </c>
      <c r="I482" s="1">
        <f t="shared" si="114"/>
        <v>83709</v>
      </c>
      <c r="J482" s="1">
        <f>N(2083733710)</f>
        <v>2083733710</v>
      </c>
      <c r="K482" s="1">
        <f t="shared" si="115"/>
        <v>2083733915</v>
      </c>
    </row>
    <row r="483" spans="1:11" ht="12.75">
      <c r="A483" s="1" t="s">
        <v>11</v>
      </c>
      <c r="B483" t="str">
        <f>T("ID304 DIV OF FIRE &amp; AVIATION")</f>
        <v>ID304 DIV OF FIRE &amp; AVIATION</v>
      </c>
      <c r="C483" t="str">
        <f t="shared" si="111"/>
        <v>13875 VERNAL WAY</v>
      </c>
      <c r="D483" t="s">
        <v>0</v>
      </c>
      <c r="E483" t="s">
        <v>0</v>
      </c>
      <c r="F483" t="s">
        <v>0</v>
      </c>
      <c r="G483" t="str">
        <f t="shared" si="112"/>
        <v>BOISE</v>
      </c>
      <c r="H483" t="str">
        <f t="shared" si="113"/>
        <v>ID </v>
      </c>
      <c r="I483" s="1">
        <f t="shared" si="114"/>
        <v>83709</v>
      </c>
      <c r="J483" s="1">
        <f>N(2083733910)</f>
        <v>2083733910</v>
      </c>
      <c r="K483" s="1">
        <f t="shared" si="115"/>
        <v>2083733915</v>
      </c>
    </row>
    <row r="484" spans="1:11" ht="12.75">
      <c r="A484" s="1" t="s">
        <v>11</v>
      </c>
      <c r="B484" t="str">
        <f>T("ID310 UPPER SNAKE FIELD OFFICE")</f>
        <v>ID310 UPPER SNAKE FIELD OFFICE</v>
      </c>
      <c r="C484" t="str">
        <f t="shared" si="111"/>
        <v>13875 VERNAL WAY</v>
      </c>
      <c r="D484" t="s">
        <v>0</v>
      </c>
      <c r="E484" t="s">
        <v>0</v>
      </c>
      <c r="F484" t="s">
        <v>0</v>
      </c>
      <c r="G484" t="str">
        <f t="shared" si="112"/>
        <v>BOISE</v>
      </c>
      <c r="H484" t="str">
        <f t="shared" si="113"/>
        <v>ID </v>
      </c>
      <c r="I484" s="1">
        <f t="shared" si="114"/>
        <v>83709</v>
      </c>
      <c r="J484" s="1">
        <f>N(2083733910)</f>
        <v>2083733910</v>
      </c>
      <c r="K484" s="1">
        <f t="shared" si="115"/>
        <v>2083733915</v>
      </c>
    </row>
    <row r="485" spans="1:11" ht="12.75">
      <c r="A485" s="1" t="s">
        <v>11</v>
      </c>
      <c r="B485" t="str">
        <f>T("ID320 POCATELLO FIELD OFFICE")</f>
        <v>ID320 POCATELLO FIELD OFFICE</v>
      </c>
      <c r="C485" t="str">
        <f t="shared" si="111"/>
        <v>13875 VERNAL WAY</v>
      </c>
      <c r="D485" t="s">
        <v>0</v>
      </c>
      <c r="E485" t="s">
        <v>0</v>
      </c>
      <c r="F485" t="s">
        <v>0</v>
      </c>
      <c r="G485" t="str">
        <f t="shared" si="112"/>
        <v>BOISE</v>
      </c>
      <c r="H485" t="str">
        <f t="shared" si="113"/>
        <v>ID </v>
      </c>
      <c r="I485" s="1">
        <f t="shared" si="114"/>
        <v>83709</v>
      </c>
      <c r="J485" s="1">
        <f aca="true" t="shared" si="117" ref="J485:J501">N(2083733910)</f>
        <v>2083733910</v>
      </c>
      <c r="K485" s="1">
        <f t="shared" si="115"/>
        <v>2083733915</v>
      </c>
    </row>
    <row r="486" spans="1:11" ht="12.75">
      <c r="A486" s="1" t="s">
        <v>11</v>
      </c>
      <c r="B486" t="str">
        <f>T("ID330 CHALLIS FIELD OFFICE")</f>
        <v>ID330 CHALLIS FIELD OFFICE</v>
      </c>
      <c r="C486" t="str">
        <f t="shared" si="111"/>
        <v>13875 VERNAL WAY</v>
      </c>
      <c r="D486" t="s">
        <v>0</v>
      </c>
      <c r="E486" t="s">
        <v>0</v>
      </c>
      <c r="F486" t="s">
        <v>0</v>
      </c>
      <c r="G486" t="str">
        <f t="shared" si="112"/>
        <v>BOISE</v>
      </c>
      <c r="H486" t="str">
        <f t="shared" si="113"/>
        <v>ID </v>
      </c>
      <c r="I486" s="1">
        <f t="shared" si="114"/>
        <v>83709</v>
      </c>
      <c r="J486" s="1">
        <f t="shared" si="117"/>
        <v>2083733910</v>
      </c>
      <c r="K486" s="1">
        <f t="shared" si="115"/>
        <v>2083733915</v>
      </c>
    </row>
    <row r="487" spans="1:11" ht="12.75">
      <c r="A487" s="1" t="s">
        <v>11</v>
      </c>
      <c r="B487" t="str">
        <f>T("ID340 SALMON FIELD OFFICE")</f>
        <v>ID340 SALMON FIELD OFFICE</v>
      </c>
      <c r="C487" t="str">
        <f t="shared" si="111"/>
        <v>13875 VERNAL WAY</v>
      </c>
      <c r="D487" t="s">
        <v>0</v>
      </c>
      <c r="E487" t="s">
        <v>0</v>
      </c>
      <c r="F487" t="s">
        <v>0</v>
      </c>
      <c r="G487" t="str">
        <f t="shared" si="112"/>
        <v>BOISE</v>
      </c>
      <c r="H487" t="str">
        <f t="shared" si="113"/>
        <v>ID </v>
      </c>
      <c r="I487" s="1">
        <f t="shared" si="114"/>
        <v>83709</v>
      </c>
      <c r="J487" s="1">
        <f t="shared" si="117"/>
        <v>2083733910</v>
      </c>
      <c r="K487" s="1">
        <f t="shared" si="115"/>
        <v>2083733915</v>
      </c>
    </row>
    <row r="488" spans="1:11" ht="12.75">
      <c r="A488" s="1" t="s">
        <v>11</v>
      </c>
      <c r="B488" t="str">
        <f>T("ID400 COUER D'ALENE DIST OFF")</f>
        <v>ID400 COUER D'ALENE DIST OFF</v>
      </c>
      <c r="C488" t="str">
        <f t="shared" si="111"/>
        <v>13875 VERNAL WAY</v>
      </c>
      <c r="D488" t="s">
        <v>0</v>
      </c>
      <c r="E488" t="s">
        <v>0</v>
      </c>
      <c r="F488" t="s">
        <v>0</v>
      </c>
      <c r="G488" t="str">
        <f t="shared" si="112"/>
        <v>BOISE</v>
      </c>
      <c r="H488" t="str">
        <f t="shared" si="113"/>
        <v>ID </v>
      </c>
      <c r="I488" s="1">
        <f t="shared" si="114"/>
        <v>83709</v>
      </c>
      <c r="J488" s="1">
        <f t="shared" si="117"/>
        <v>2083733910</v>
      </c>
      <c r="K488" s="1">
        <f t="shared" si="115"/>
        <v>2083733915</v>
      </c>
    </row>
    <row r="489" spans="1:11" ht="12.75">
      <c r="A489" s="1" t="s">
        <v>11</v>
      </c>
      <c r="B489" t="str">
        <f>T("ID401 DIVISION OF SUPPT SERV")</f>
        <v>ID401 DIVISION OF SUPPT SERV</v>
      </c>
      <c r="C489" t="str">
        <f t="shared" si="111"/>
        <v>13875 VERNAL WAY</v>
      </c>
      <c r="D489" t="s">
        <v>0</v>
      </c>
      <c r="E489" t="s">
        <v>0</v>
      </c>
      <c r="F489" t="s">
        <v>0</v>
      </c>
      <c r="G489" t="str">
        <f t="shared" si="112"/>
        <v>BOISE</v>
      </c>
      <c r="H489" t="str">
        <f t="shared" si="113"/>
        <v>ID </v>
      </c>
      <c r="I489" s="1">
        <f t="shared" si="114"/>
        <v>83709</v>
      </c>
      <c r="J489" s="1">
        <f t="shared" si="117"/>
        <v>2083733910</v>
      </c>
      <c r="K489" s="1">
        <f t="shared" si="115"/>
        <v>2083733915</v>
      </c>
    </row>
    <row r="490" spans="1:11" ht="12.75">
      <c r="A490" s="1" t="s">
        <v>11</v>
      </c>
      <c r="B490" t="str">
        <f>T("ID404 FIRE &amp; AVIATION STAFF")</f>
        <v>ID404 FIRE &amp; AVIATION STAFF</v>
      </c>
      <c r="C490" t="str">
        <f t="shared" si="111"/>
        <v>13875 VERNAL WAY</v>
      </c>
      <c r="D490" t="s">
        <v>0</v>
      </c>
      <c r="E490" t="s">
        <v>0</v>
      </c>
      <c r="F490" t="s">
        <v>0</v>
      </c>
      <c r="G490" t="str">
        <f t="shared" si="112"/>
        <v>BOISE</v>
      </c>
      <c r="H490" t="str">
        <f t="shared" si="113"/>
        <v>ID </v>
      </c>
      <c r="I490" s="1">
        <f t="shared" si="114"/>
        <v>83709</v>
      </c>
      <c r="J490" s="1">
        <f t="shared" si="117"/>
        <v>2083733910</v>
      </c>
      <c r="K490" s="1">
        <f t="shared" si="115"/>
        <v>2083733915</v>
      </c>
    </row>
    <row r="491" spans="1:11" ht="12.75">
      <c r="A491" s="1" t="s">
        <v>11</v>
      </c>
      <c r="B491" t="str">
        <f>T("ID410 COEUR D'ALENE FIELD OFF")</f>
        <v>ID410 COEUR D'ALENE FIELD OFF</v>
      </c>
      <c r="C491" t="str">
        <f t="shared" si="111"/>
        <v>13875 VERNAL WAY</v>
      </c>
      <c r="D491" t="s">
        <v>0</v>
      </c>
      <c r="E491" t="s">
        <v>0</v>
      </c>
      <c r="F491" t="s">
        <v>0</v>
      </c>
      <c r="G491" t="str">
        <f t="shared" si="112"/>
        <v>BOISE</v>
      </c>
      <c r="H491" t="str">
        <f t="shared" si="113"/>
        <v>ID </v>
      </c>
      <c r="I491" s="1">
        <f t="shared" si="114"/>
        <v>83709</v>
      </c>
      <c r="J491" s="1">
        <f t="shared" si="117"/>
        <v>2083733910</v>
      </c>
      <c r="K491" s="1">
        <f t="shared" si="115"/>
        <v>2083733915</v>
      </c>
    </row>
    <row r="492" spans="1:11" ht="12.75">
      <c r="A492" s="1" t="s">
        <v>11</v>
      </c>
      <c r="B492" t="str">
        <f>T("ID420 COTTONWOOD FIELD OFF")</f>
        <v>ID420 COTTONWOOD FIELD OFF</v>
      </c>
      <c r="C492" t="str">
        <f t="shared" si="111"/>
        <v>13875 VERNAL WAY</v>
      </c>
      <c r="D492" t="s">
        <v>0</v>
      </c>
      <c r="E492" t="s">
        <v>0</v>
      </c>
      <c r="F492" t="s">
        <v>0</v>
      </c>
      <c r="G492" t="str">
        <f t="shared" si="112"/>
        <v>BOISE</v>
      </c>
      <c r="H492" t="str">
        <f t="shared" si="113"/>
        <v>ID </v>
      </c>
      <c r="I492" s="1">
        <f t="shared" si="114"/>
        <v>83709</v>
      </c>
      <c r="J492" s="1">
        <f t="shared" si="117"/>
        <v>2083733910</v>
      </c>
      <c r="K492" s="1">
        <f t="shared" si="115"/>
        <v>2083733915</v>
      </c>
    </row>
    <row r="493" spans="1:11" ht="12.75">
      <c r="A493" s="1" t="s">
        <v>11</v>
      </c>
      <c r="B493" t="str">
        <f>T("ID911 EQUAL RIGHTS STAFF")</f>
        <v>ID911 EQUAL RIGHTS STAFF</v>
      </c>
      <c r="C493" t="str">
        <f t="shared" si="111"/>
        <v>13875 VERNAL WAY</v>
      </c>
      <c r="D493" t="s">
        <v>0</v>
      </c>
      <c r="E493" t="s">
        <v>0</v>
      </c>
      <c r="F493" t="s">
        <v>0</v>
      </c>
      <c r="G493" t="str">
        <f t="shared" si="112"/>
        <v>BOISE</v>
      </c>
      <c r="H493" t="str">
        <f t="shared" si="113"/>
        <v>ID </v>
      </c>
      <c r="I493" s="1">
        <f t="shared" si="114"/>
        <v>83709</v>
      </c>
      <c r="J493" s="1">
        <f t="shared" si="117"/>
        <v>2083733910</v>
      </c>
      <c r="K493" s="1">
        <f t="shared" si="115"/>
        <v>2083733915</v>
      </c>
    </row>
    <row r="494" spans="1:11" ht="12.75">
      <c r="A494" s="1" t="s">
        <v>11</v>
      </c>
      <c r="B494" t="str">
        <f>T("ID912 INTERGOV &amp; EXT AFFAIRS")</f>
        <v>ID912 INTERGOV &amp; EXT AFFAIRS</v>
      </c>
      <c r="C494" t="str">
        <f t="shared" si="111"/>
        <v>13875 VERNAL WAY</v>
      </c>
      <c r="D494" t="s">
        <v>0</v>
      </c>
      <c r="E494" t="s">
        <v>0</v>
      </c>
      <c r="F494" t="s">
        <v>0</v>
      </c>
      <c r="G494" t="str">
        <f t="shared" si="112"/>
        <v>BOISE</v>
      </c>
      <c r="H494" t="str">
        <f t="shared" si="113"/>
        <v>ID </v>
      </c>
      <c r="I494" s="1">
        <f t="shared" si="114"/>
        <v>83709</v>
      </c>
      <c r="J494" s="1">
        <f t="shared" si="117"/>
        <v>2083733910</v>
      </c>
      <c r="K494" s="1">
        <f t="shared" si="115"/>
        <v>2083733915</v>
      </c>
    </row>
    <row r="495" spans="1:11" ht="12.75">
      <c r="A495" s="1" t="s">
        <v>11</v>
      </c>
      <c r="B495" t="str">
        <f>T("ID914 SAFETY STAFF")</f>
        <v>ID914 SAFETY STAFF</v>
      </c>
      <c r="C495" t="str">
        <f t="shared" si="111"/>
        <v>13875 VERNAL WAY</v>
      </c>
      <c r="D495" t="s">
        <v>0</v>
      </c>
      <c r="E495" t="s">
        <v>0</v>
      </c>
      <c r="F495" t="s">
        <v>0</v>
      </c>
      <c r="G495" t="str">
        <f t="shared" si="112"/>
        <v>BOISE</v>
      </c>
      <c r="H495" t="str">
        <f t="shared" si="113"/>
        <v>ID </v>
      </c>
      <c r="I495" s="1">
        <f t="shared" si="114"/>
        <v>83709</v>
      </c>
      <c r="J495" s="1">
        <f t="shared" si="117"/>
        <v>2083733910</v>
      </c>
      <c r="K495" s="1">
        <f t="shared" si="115"/>
        <v>2083733915</v>
      </c>
    </row>
    <row r="496" spans="1:11" ht="12.75">
      <c r="A496" s="1" t="s">
        <v>11</v>
      </c>
      <c r="B496" t="str">
        <f>T("ID915 BUDGET &amp; FINANCE")</f>
        <v>ID915 BUDGET &amp; FINANCE</v>
      </c>
      <c r="C496" t="str">
        <f t="shared" si="111"/>
        <v>13875 VERNAL WAY</v>
      </c>
      <c r="D496" t="s">
        <v>0</v>
      </c>
      <c r="E496" t="s">
        <v>0</v>
      </c>
      <c r="F496" t="s">
        <v>0</v>
      </c>
      <c r="G496" t="str">
        <f t="shared" si="112"/>
        <v>BOISE</v>
      </c>
      <c r="H496" t="str">
        <f t="shared" si="113"/>
        <v>ID </v>
      </c>
      <c r="I496" s="1">
        <f t="shared" si="114"/>
        <v>83709</v>
      </c>
      <c r="J496" s="1">
        <f t="shared" si="117"/>
        <v>2083733910</v>
      </c>
      <c r="K496" s="1">
        <f t="shared" si="115"/>
        <v>2083733915</v>
      </c>
    </row>
    <row r="497" spans="1:11" ht="12.75">
      <c r="A497" s="1" t="s">
        <v>11</v>
      </c>
      <c r="B497" t="str">
        <f>T("ID931 BRANCH OF RES &amp; SCIENCE")</f>
        <v>ID931 BRANCH OF RES &amp; SCIENCE</v>
      </c>
      <c r="C497" t="str">
        <f t="shared" si="111"/>
        <v>13875 VERNAL WAY</v>
      </c>
      <c r="D497" t="s">
        <v>0</v>
      </c>
      <c r="E497" t="s">
        <v>0</v>
      </c>
      <c r="F497" t="s">
        <v>0</v>
      </c>
      <c r="G497" t="str">
        <f t="shared" si="112"/>
        <v>BOISE</v>
      </c>
      <c r="H497" t="str">
        <f t="shared" si="113"/>
        <v>ID </v>
      </c>
      <c r="I497" s="1">
        <f t="shared" si="114"/>
        <v>83709</v>
      </c>
      <c r="J497" s="1">
        <f t="shared" si="117"/>
        <v>2083733910</v>
      </c>
      <c r="K497" s="1">
        <f t="shared" si="115"/>
        <v>2083733915</v>
      </c>
    </row>
    <row r="498" spans="1:11" ht="12.75">
      <c r="A498" s="1" t="s">
        <v>11</v>
      </c>
      <c r="B498" t="str">
        <f>T("ID932 BRANCH OF FIRE &amp; AVIATIO")</f>
        <v>ID932 BRANCH OF FIRE &amp; AVIATIO</v>
      </c>
      <c r="C498" t="str">
        <f t="shared" si="111"/>
        <v>13875 VERNAL WAY</v>
      </c>
      <c r="D498" t="s">
        <v>0</v>
      </c>
      <c r="E498" t="s">
        <v>0</v>
      </c>
      <c r="F498" t="s">
        <v>0</v>
      </c>
      <c r="G498" t="str">
        <f t="shared" si="112"/>
        <v>BOISE</v>
      </c>
      <c r="H498" t="str">
        <f t="shared" si="113"/>
        <v>ID </v>
      </c>
      <c r="I498" s="1">
        <f t="shared" si="114"/>
        <v>83709</v>
      </c>
      <c r="J498" s="1">
        <f t="shared" si="117"/>
        <v>2083733910</v>
      </c>
      <c r="K498" s="1">
        <f t="shared" si="115"/>
        <v>2083733915</v>
      </c>
    </row>
    <row r="499" spans="1:11" ht="12.75">
      <c r="A499" s="1" t="s">
        <v>11</v>
      </c>
      <c r="B499" t="str">
        <f>T("ID933 BR OF LANDS MIN &amp; WTR RI")</f>
        <v>ID933 BR OF LANDS MIN &amp; WTR RI</v>
      </c>
      <c r="C499" t="str">
        <f t="shared" si="111"/>
        <v>13875 VERNAL WAY</v>
      </c>
      <c r="D499" t="s">
        <v>0</v>
      </c>
      <c r="E499" t="s">
        <v>0</v>
      </c>
      <c r="F499" t="s">
        <v>0</v>
      </c>
      <c r="G499" t="str">
        <f t="shared" si="112"/>
        <v>BOISE</v>
      </c>
      <c r="H499" t="str">
        <f t="shared" si="113"/>
        <v>ID </v>
      </c>
      <c r="I499" s="1">
        <f t="shared" si="114"/>
        <v>83709</v>
      </c>
      <c r="J499" s="1">
        <f t="shared" si="117"/>
        <v>2083733910</v>
      </c>
      <c r="K499" s="1">
        <f t="shared" si="115"/>
        <v>2083733915</v>
      </c>
    </row>
    <row r="500" spans="1:11" ht="12.75">
      <c r="A500" s="1" t="s">
        <v>11</v>
      </c>
      <c r="B500" t="str">
        <f>T("ID953 BRANCH OF HR MGT")</f>
        <v>ID953 BRANCH OF HR MGT</v>
      </c>
      <c r="C500" t="str">
        <f t="shared" si="111"/>
        <v>13875 VERNAL WAY</v>
      </c>
      <c r="D500" t="s">
        <v>0</v>
      </c>
      <c r="E500" t="s">
        <v>0</v>
      </c>
      <c r="F500" t="s">
        <v>0</v>
      </c>
      <c r="G500" t="str">
        <f t="shared" si="112"/>
        <v>BOISE</v>
      </c>
      <c r="H500" t="str">
        <f t="shared" si="113"/>
        <v>ID </v>
      </c>
      <c r="I500" s="1">
        <f t="shared" si="114"/>
        <v>83709</v>
      </c>
      <c r="J500" s="1">
        <f t="shared" si="117"/>
        <v>2083733910</v>
      </c>
      <c r="K500" s="1">
        <f t="shared" si="115"/>
        <v>2083733915</v>
      </c>
    </row>
    <row r="501" spans="1:11" ht="12.75">
      <c r="A501" s="1" t="s">
        <v>11</v>
      </c>
      <c r="B501" t="str">
        <f>T("ID954 BRANCH OF IRM")</f>
        <v>ID954 BRANCH OF IRM</v>
      </c>
      <c r="C501" t="str">
        <f t="shared" si="111"/>
        <v>13875 VERNAL WAY</v>
      </c>
      <c r="D501" t="s">
        <v>0</v>
      </c>
      <c r="E501" t="s">
        <v>0</v>
      </c>
      <c r="F501" t="s">
        <v>0</v>
      </c>
      <c r="G501" t="str">
        <f t="shared" si="112"/>
        <v>BOISE</v>
      </c>
      <c r="H501" t="str">
        <f t="shared" si="113"/>
        <v>ID </v>
      </c>
      <c r="I501" s="1">
        <f t="shared" si="114"/>
        <v>83709</v>
      </c>
      <c r="J501" s="1">
        <f t="shared" si="117"/>
        <v>2083733910</v>
      </c>
      <c r="K501" s="1">
        <f t="shared" si="115"/>
        <v>2083733915</v>
      </c>
    </row>
    <row r="502" spans="1:11" ht="12.75">
      <c r="A502" s="1" t="s">
        <v>11</v>
      </c>
      <c r="B502" t="str">
        <f>T("ID956 BRANCH OF ENG &amp; GS")</f>
        <v>ID956 BRANCH OF ENG &amp; GS</v>
      </c>
      <c r="C502" t="str">
        <f t="shared" si="111"/>
        <v>13875 VERNAL WAY</v>
      </c>
      <c r="D502" t="s">
        <v>0</v>
      </c>
      <c r="E502" t="s">
        <v>0</v>
      </c>
      <c r="F502" t="s">
        <v>0</v>
      </c>
      <c r="G502" t="str">
        <f t="shared" si="112"/>
        <v>BOISE</v>
      </c>
      <c r="H502" t="str">
        <f t="shared" si="113"/>
        <v>ID </v>
      </c>
      <c r="I502" s="1">
        <f t="shared" si="114"/>
        <v>83709</v>
      </c>
      <c r="J502" s="1">
        <f>N(2083733910)</f>
        <v>2083733910</v>
      </c>
      <c r="K502" s="1">
        <f t="shared" si="115"/>
        <v>2083733915</v>
      </c>
    </row>
    <row r="503" spans="1:11" ht="12.75">
      <c r="A503" s="1" t="s">
        <v>11</v>
      </c>
      <c r="B503" t="str">
        <f>T("ID957 BRANCH OF CAD SURVEY")</f>
        <v>ID957 BRANCH OF CAD SURVEY</v>
      </c>
      <c r="C503" t="str">
        <f t="shared" si="111"/>
        <v>13875 VERNAL WAY</v>
      </c>
      <c r="D503" t="s">
        <v>0</v>
      </c>
      <c r="E503" t="s">
        <v>0</v>
      </c>
      <c r="F503" t="s">
        <v>0</v>
      </c>
      <c r="G503" t="str">
        <f t="shared" si="112"/>
        <v>BOISE</v>
      </c>
      <c r="H503" t="str">
        <f t="shared" si="113"/>
        <v>ID </v>
      </c>
      <c r="I503" s="1">
        <f t="shared" si="114"/>
        <v>83709</v>
      </c>
      <c r="J503" s="1">
        <f>N(2083733910)</f>
        <v>2083733910</v>
      </c>
      <c r="K503" s="1">
        <f t="shared" si="115"/>
        <v>2083733915</v>
      </c>
    </row>
    <row r="504" spans="1:11" ht="12.75">
      <c r="A504" s="1" t="s">
        <v>11</v>
      </c>
      <c r="B504" t="str">
        <f>T("ID102 DIVISION OF OPERATIONS")</f>
        <v>ID102 DIVISION OF OPERATIONS</v>
      </c>
      <c r="C504" t="str">
        <f t="shared" si="111"/>
        <v>13875 VERNAL WAY</v>
      </c>
      <c r="D504" t="s">
        <v>0</v>
      </c>
      <c r="E504" t="s">
        <v>0</v>
      </c>
      <c r="F504" t="s">
        <v>0</v>
      </c>
      <c r="G504" t="str">
        <f t="shared" si="112"/>
        <v>BOISE</v>
      </c>
      <c r="H504" t="str">
        <f t="shared" si="113"/>
        <v>ID </v>
      </c>
      <c r="I504" s="1">
        <f t="shared" si="114"/>
        <v>83709</v>
      </c>
      <c r="J504" s="1">
        <f aca="true" t="shared" si="118" ref="J504:J527">N(2083733911)</f>
        <v>2083733911</v>
      </c>
      <c r="K504" s="1">
        <f t="shared" si="115"/>
        <v>2083733915</v>
      </c>
    </row>
    <row r="505" spans="1:11" ht="12.75">
      <c r="A505" s="1" t="s">
        <v>11</v>
      </c>
      <c r="B505" t="str">
        <f>T("ID104 DIV OF FIRE &amp; AVIATION")</f>
        <v>ID104 DIV OF FIRE &amp; AVIATION</v>
      </c>
      <c r="C505" t="str">
        <f t="shared" si="111"/>
        <v>13875 VERNAL WAY</v>
      </c>
      <c r="D505" t="s">
        <v>0</v>
      </c>
      <c r="E505" t="s">
        <v>0</v>
      </c>
      <c r="F505" t="s">
        <v>0</v>
      </c>
      <c r="G505" t="str">
        <f t="shared" si="112"/>
        <v>BOISE</v>
      </c>
      <c r="H505" t="str">
        <f t="shared" si="113"/>
        <v>ID </v>
      </c>
      <c r="I505" s="1">
        <f t="shared" si="114"/>
        <v>83709</v>
      </c>
      <c r="J505" s="1">
        <f t="shared" si="118"/>
        <v>2083733911</v>
      </c>
      <c r="K505" s="1">
        <f t="shared" si="115"/>
        <v>2083733915</v>
      </c>
    </row>
    <row r="506" spans="1:11" ht="12.75">
      <c r="A506" s="1" t="s">
        <v>11</v>
      </c>
      <c r="B506" t="str">
        <f>T("ID111 BIRDS OF PREY NAT CONS A")</f>
        <v>ID111 BIRDS OF PREY NAT CONS A</v>
      </c>
      <c r="C506" t="str">
        <f t="shared" si="111"/>
        <v>13875 VERNAL WAY</v>
      </c>
      <c r="D506" t="s">
        <v>0</v>
      </c>
      <c r="E506" t="s">
        <v>0</v>
      </c>
      <c r="F506" t="s">
        <v>0</v>
      </c>
      <c r="G506" t="str">
        <f t="shared" si="112"/>
        <v>BOISE</v>
      </c>
      <c r="H506" t="str">
        <f t="shared" si="113"/>
        <v>ID </v>
      </c>
      <c r="I506" s="1">
        <f t="shared" si="114"/>
        <v>83709</v>
      </c>
      <c r="J506" s="1">
        <f t="shared" si="118"/>
        <v>2083733911</v>
      </c>
      <c r="K506" s="1">
        <f t="shared" si="115"/>
        <v>2083733915</v>
      </c>
    </row>
    <row r="507" spans="1:11" ht="12.75">
      <c r="A507" s="1" t="s">
        <v>11</v>
      </c>
      <c r="B507" t="str">
        <f>T("ID130 OWYHEE FIELD OFFICE")</f>
        <v>ID130 OWYHEE FIELD OFFICE</v>
      </c>
      <c r="C507" t="str">
        <f t="shared" si="111"/>
        <v>13875 VERNAL WAY</v>
      </c>
      <c r="D507" t="s">
        <v>0</v>
      </c>
      <c r="E507" t="s">
        <v>0</v>
      </c>
      <c r="F507" t="s">
        <v>0</v>
      </c>
      <c r="G507" t="str">
        <f t="shared" si="112"/>
        <v>BOISE</v>
      </c>
      <c r="H507" t="str">
        <f t="shared" si="113"/>
        <v>ID </v>
      </c>
      <c r="I507" s="1">
        <f t="shared" si="114"/>
        <v>83709</v>
      </c>
      <c r="J507" s="1">
        <f t="shared" si="118"/>
        <v>2083733911</v>
      </c>
      <c r="K507" s="1">
        <f t="shared" si="115"/>
        <v>2083733915</v>
      </c>
    </row>
    <row r="508" spans="1:11" ht="12.75">
      <c r="A508" s="1" t="s">
        <v>11</v>
      </c>
      <c r="B508" t="str">
        <f>T("ID302 DIVISION OF OPERATIONS")</f>
        <v>ID302 DIVISION OF OPERATIONS</v>
      </c>
      <c r="C508" t="str">
        <f t="shared" si="111"/>
        <v>13875 VERNAL WAY</v>
      </c>
      <c r="D508" t="s">
        <v>0</v>
      </c>
      <c r="E508" t="s">
        <v>0</v>
      </c>
      <c r="F508" t="s">
        <v>0</v>
      </c>
      <c r="G508" t="str">
        <f t="shared" si="112"/>
        <v>BOISE</v>
      </c>
      <c r="H508" t="str">
        <f t="shared" si="113"/>
        <v>ID </v>
      </c>
      <c r="I508" s="1">
        <f t="shared" si="114"/>
        <v>83709</v>
      </c>
      <c r="J508" s="1">
        <f t="shared" si="118"/>
        <v>2083733911</v>
      </c>
      <c r="K508" s="1">
        <f t="shared" si="115"/>
        <v>2083733915</v>
      </c>
    </row>
    <row r="509" spans="1:11" ht="12.75">
      <c r="A509" s="1" t="s">
        <v>11</v>
      </c>
      <c r="B509" t="str">
        <f>T("ID304 DIV OF FIRE &amp; AVIATION")</f>
        <v>ID304 DIV OF FIRE &amp; AVIATION</v>
      </c>
      <c r="C509" t="str">
        <f t="shared" si="111"/>
        <v>13875 VERNAL WAY</v>
      </c>
      <c r="D509" t="s">
        <v>0</v>
      </c>
      <c r="E509" t="s">
        <v>0</v>
      </c>
      <c r="F509" t="s">
        <v>0</v>
      </c>
      <c r="G509" t="str">
        <f t="shared" si="112"/>
        <v>BOISE</v>
      </c>
      <c r="H509" t="str">
        <f t="shared" si="113"/>
        <v>ID </v>
      </c>
      <c r="I509" s="1">
        <f t="shared" si="114"/>
        <v>83709</v>
      </c>
      <c r="J509" s="1">
        <f t="shared" si="118"/>
        <v>2083733911</v>
      </c>
      <c r="K509" s="1">
        <f t="shared" si="115"/>
        <v>2083733915</v>
      </c>
    </row>
    <row r="510" spans="1:11" ht="12.75">
      <c r="A510" s="1" t="s">
        <v>11</v>
      </c>
      <c r="B510" t="str">
        <f>T("ID310 UPPER SNAKE FIELD OFFICE")</f>
        <v>ID310 UPPER SNAKE FIELD OFFICE</v>
      </c>
      <c r="C510" t="str">
        <f t="shared" si="111"/>
        <v>13875 VERNAL WAY</v>
      </c>
      <c r="D510" t="s">
        <v>0</v>
      </c>
      <c r="E510" t="s">
        <v>0</v>
      </c>
      <c r="F510" t="s">
        <v>0</v>
      </c>
      <c r="G510" t="str">
        <f t="shared" si="112"/>
        <v>BOISE</v>
      </c>
      <c r="H510" t="str">
        <f t="shared" si="113"/>
        <v>ID </v>
      </c>
      <c r="I510" s="1">
        <f t="shared" si="114"/>
        <v>83709</v>
      </c>
      <c r="J510" s="1">
        <f t="shared" si="118"/>
        <v>2083733911</v>
      </c>
      <c r="K510" s="1">
        <f t="shared" si="115"/>
        <v>2083733915</v>
      </c>
    </row>
    <row r="511" spans="1:11" ht="12.75">
      <c r="A511" s="1" t="s">
        <v>11</v>
      </c>
      <c r="B511" t="str">
        <f>T("ID320 POCATELLO FIELD OFFICE")</f>
        <v>ID320 POCATELLO FIELD OFFICE</v>
      </c>
      <c r="C511" t="str">
        <f t="shared" si="111"/>
        <v>13875 VERNAL WAY</v>
      </c>
      <c r="D511" t="s">
        <v>0</v>
      </c>
      <c r="E511" t="s">
        <v>0</v>
      </c>
      <c r="F511" t="s">
        <v>0</v>
      </c>
      <c r="G511" t="str">
        <f t="shared" si="112"/>
        <v>BOISE</v>
      </c>
      <c r="H511" t="str">
        <f t="shared" si="113"/>
        <v>ID </v>
      </c>
      <c r="I511" s="1">
        <f t="shared" si="114"/>
        <v>83709</v>
      </c>
      <c r="J511" s="1">
        <f t="shared" si="118"/>
        <v>2083733911</v>
      </c>
      <c r="K511" s="1">
        <f t="shared" si="115"/>
        <v>2083733915</v>
      </c>
    </row>
    <row r="512" spans="1:11" ht="12.75">
      <c r="A512" s="1" t="s">
        <v>11</v>
      </c>
      <c r="B512" t="str">
        <f>T("ID330 CHALLIS FIELD OFFICE")</f>
        <v>ID330 CHALLIS FIELD OFFICE</v>
      </c>
      <c r="C512" t="str">
        <f t="shared" si="111"/>
        <v>13875 VERNAL WAY</v>
      </c>
      <c r="D512" t="s">
        <v>0</v>
      </c>
      <c r="E512" t="s">
        <v>0</v>
      </c>
      <c r="F512" t="s">
        <v>0</v>
      </c>
      <c r="G512" t="str">
        <f t="shared" si="112"/>
        <v>BOISE</v>
      </c>
      <c r="H512" t="str">
        <f t="shared" si="113"/>
        <v>ID </v>
      </c>
      <c r="I512" s="1">
        <f t="shared" si="114"/>
        <v>83709</v>
      </c>
      <c r="J512" s="1">
        <f t="shared" si="118"/>
        <v>2083733911</v>
      </c>
      <c r="K512" s="1">
        <f t="shared" si="115"/>
        <v>2083733915</v>
      </c>
    </row>
    <row r="513" spans="1:11" ht="12.75">
      <c r="A513" s="1" t="s">
        <v>11</v>
      </c>
      <c r="B513" t="str">
        <f>T("ID340 SALMON FIELD OFFICE")</f>
        <v>ID340 SALMON FIELD OFFICE</v>
      </c>
      <c r="C513" t="str">
        <f t="shared" si="111"/>
        <v>13875 VERNAL WAY</v>
      </c>
      <c r="D513" t="s">
        <v>0</v>
      </c>
      <c r="E513" t="s">
        <v>0</v>
      </c>
      <c r="F513" t="s">
        <v>0</v>
      </c>
      <c r="G513" t="str">
        <f t="shared" si="112"/>
        <v>BOISE</v>
      </c>
      <c r="H513" t="str">
        <f t="shared" si="113"/>
        <v>ID </v>
      </c>
      <c r="I513" s="1">
        <f t="shared" si="114"/>
        <v>83709</v>
      </c>
      <c r="J513" s="1">
        <f t="shared" si="118"/>
        <v>2083733911</v>
      </c>
      <c r="K513" s="1">
        <f t="shared" si="115"/>
        <v>2083733915</v>
      </c>
    </row>
    <row r="514" spans="1:11" ht="12.75">
      <c r="A514" s="1" t="s">
        <v>11</v>
      </c>
      <c r="B514" t="str">
        <f>T("ID912 INTERGOV&amp;EXT AFFAIRS")</f>
        <v>ID912 INTERGOV&amp;EXT AFFAIRS</v>
      </c>
      <c r="C514" t="str">
        <f t="shared" si="111"/>
        <v>13875 VERNAL WAY</v>
      </c>
      <c r="D514" t="s">
        <v>0</v>
      </c>
      <c r="E514" t="s">
        <v>0</v>
      </c>
      <c r="F514" t="s">
        <v>0</v>
      </c>
      <c r="G514" t="str">
        <f t="shared" si="112"/>
        <v>BOISE</v>
      </c>
      <c r="H514" t="str">
        <f t="shared" si="113"/>
        <v>ID </v>
      </c>
      <c r="I514" s="1">
        <f t="shared" si="114"/>
        <v>83709</v>
      </c>
      <c r="J514" s="1">
        <f t="shared" si="118"/>
        <v>2083733911</v>
      </c>
      <c r="K514" s="1">
        <f t="shared" si="115"/>
        <v>2083733915</v>
      </c>
    </row>
    <row r="515" spans="1:11" ht="12.75">
      <c r="A515" s="1" t="s">
        <v>11</v>
      </c>
      <c r="B515" t="str">
        <f>T("ID931 BRANCH OF RES &amp; SCIENCE")</f>
        <v>ID931 BRANCH OF RES &amp; SCIENCE</v>
      </c>
      <c r="C515" t="str">
        <f t="shared" si="111"/>
        <v>13875 VERNAL WAY</v>
      </c>
      <c r="D515" t="s">
        <v>0</v>
      </c>
      <c r="E515" t="s">
        <v>0</v>
      </c>
      <c r="F515" t="s">
        <v>0</v>
      </c>
      <c r="G515" t="str">
        <f t="shared" si="112"/>
        <v>BOISE</v>
      </c>
      <c r="H515" t="str">
        <f t="shared" si="113"/>
        <v>ID </v>
      </c>
      <c r="I515" s="1">
        <f t="shared" si="114"/>
        <v>83709</v>
      </c>
      <c r="J515" s="1">
        <f t="shared" si="118"/>
        <v>2083733911</v>
      </c>
      <c r="K515" s="1">
        <f t="shared" si="115"/>
        <v>2083733915</v>
      </c>
    </row>
    <row r="516" spans="1:11" ht="12.75">
      <c r="A516" s="1" t="s">
        <v>11</v>
      </c>
      <c r="B516" t="str">
        <f>T("ID956 BRANCH OF ENG &amp; GS")</f>
        <v>ID956 BRANCH OF ENG &amp; GS</v>
      </c>
      <c r="C516" t="str">
        <f t="shared" si="111"/>
        <v>13875 VERNAL WAY</v>
      </c>
      <c r="D516" t="s">
        <v>0</v>
      </c>
      <c r="E516" t="s">
        <v>0</v>
      </c>
      <c r="F516" t="s">
        <v>0</v>
      </c>
      <c r="G516" t="str">
        <f t="shared" si="112"/>
        <v>BOISE</v>
      </c>
      <c r="H516" t="str">
        <f t="shared" si="113"/>
        <v>ID </v>
      </c>
      <c r="I516" s="1">
        <f t="shared" si="114"/>
        <v>83709</v>
      </c>
      <c r="J516" s="1">
        <f t="shared" si="118"/>
        <v>2083733911</v>
      </c>
      <c r="K516" s="1">
        <f t="shared" si="115"/>
        <v>2083733915</v>
      </c>
    </row>
    <row r="517" spans="1:11" ht="12.75">
      <c r="A517" s="1" t="s">
        <v>11</v>
      </c>
      <c r="B517" t="str">
        <f>T("ID200 TWIN FALLS DISTRICT OFC")</f>
        <v>ID200 TWIN FALLS DISTRICT OFC</v>
      </c>
      <c r="C517" t="str">
        <f t="shared" si="111"/>
        <v>13875 VERNAL WAY</v>
      </c>
      <c r="D517" t="s">
        <v>0</v>
      </c>
      <c r="E517" t="s">
        <v>0</v>
      </c>
      <c r="F517" t="s">
        <v>0</v>
      </c>
      <c r="G517" t="str">
        <f t="shared" si="112"/>
        <v>BOISE</v>
      </c>
      <c r="H517" t="str">
        <f t="shared" si="113"/>
        <v>ID </v>
      </c>
      <c r="I517" s="1">
        <f t="shared" si="114"/>
        <v>83709</v>
      </c>
      <c r="J517" s="1">
        <f t="shared" si="118"/>
        <v>2083733911</v>
      </c>
      <c r="K517" s="1">
        <f t="shared" si="115"/>
        <v>2083733915</v>
      </c>
    </row>
    <row r="518" spans="1:11" ht="12.75">
      <c r="A518" s="1" t="s">
        <v>11</v>
      </c>
      <c r="B518" t="str">
        <f>T("ID201 DIVISION OF ADMIN SERV")</f>
        <v>ID201 DIVISION OF ADMIN SERV</v>
      </c>
      <c r="C518" t="str">
        <f t="shared" si="111"/>
        <v>13875 VERNAL WAY</v>
      </c>
      <c r="D518" t="s">
        <v>0</v>
      </c>
      <c r="E518" t="s">
        <v>0</v>
      </c>
      <c r="F518" t="s">
        <v>0</v>
      </c>
      <c r="G518" t="str">
        <f t="shared" si="112"/>
        <v>BOISE</v>
      </c>
      <c r="H518" t="str">
        <f t="shared" si="113"/>
        <v>ID </v>
      </c>
      <c r="I518" s="1">
        <f t="shared" si="114"/>
        <v>83709</v>
      </c>
      <c r="J518" s="1">
        <f t="shared" si="118"/>
        <v>2083733911</v>
      </c>
      <c r="K518" s="1">
        <f t="shared" si="115"/>
        <v>2083733915</v>
      </c>
    </row>
    <row r="519" spans="1:11" ht="12.75">
      <c r="A519" s="1" t="s">
        <v>11</v>
      </c>
      <c r="B519" t="str">
        <f>T("ID204 DIVISION OF ADMIN SERV")</f>
        <v>ID204 DIVISION OF ADMIN SERV</v>
      </c>
      <c r="C519" t="str">
        <f t="shared" si="111"/>
        <v>13875 VERNAL WAY</v>
      </c>
      <c r="D519" t="s">
        <v>0</v>
      </c>
      <c r="E519" t="s">
        <v>0</v>
      </c>
      <c r="F519" t="s">
        <v>0</v>
      </c>
      <c r="G519" t="str">
        <f t="shared" si="112"/>
        <v>BOISE</v>
      </c>
      <c r="H519" t="str">
        <f t="shared" si="113"/>
        <v>ID </v>
      </c>
      <c r="I519" s="1">
        <f t="shared" si="114"/>
        <v>83709</v>
      </c>
      <c r="J519" s="1">
        <f t="shared" si="118"/>
        <v>2083733911</v>
      </c>
      <c r="K519" s="1">
        <f t="shared" si="115"/>
        <v>2083733915</v>
      </c>
    </row>
    <row r="520" spans="1:11" ht="12.75">
      <c r="A520" s="1" t="s">
        <v>11</v>
      </c>
      <c r="B520" t="str">
        <f>T("ID210 JARBIDGE FIELD OFFICE")</f>
        <v>ID210 JARBIDGE FIELD OFFICE</v>
      </c>
      <c r="C520" t="str">
        <f t="shared" si="111"/>
        <v>13875 VERNAL WAY</v>
      </c>
      <c r="D520" t="s">
        <v>0</v>
      </c>
      <c r="E520" t="s">
        <v>0</v>
      </c>
      <c r="F520" t="s">
        <v>0</v>
      </c>
      <c r="G520" t="str">
        <f t="shared" si="112"/>
        <v>BOISE</v>
      </c>
      <c r="H520" t="str">
        <f t="shared" si="113"/>
        <v>ID </v>
      </c>
      <c r="I520" s="1">
        <f t="shared" si="114"/>
        <v>83709</v>
      </c>
      <c r="J520" s="1">
        <f t="shared" si="118"/>
        <v>2083733911</v>
      </c>
      <c r="K520" s="1">
        <f t="shared" si="115"/>
        <v>2083733915</v>
      </c>
    </row>
    <row r="521" spans="1:11" ht="12.75">
      <c r="A521" s="1" t="s">
        <v>11</v>
      </c>
      <c r="B521" t="str">
        <f>T("ID220 BURLEY FIELD OFFICE")</f>
        <v>ID220 BURLEY FIELD OFFICE</v>
      </c>
      <c r="C521" t="str">
        <f t="shared" si="111"/>
        <v>13875 VERNAL WAY</v>
      </c>
      <c r="D521" t="s">
        <v>0</v>
      </c>
      <c r="E521" t="s">
        <v>0</v>
      </c>
      <c r="F521" t="s">
        <v>0</v>
      </c>
      <c r="G521" t="str">
        <f t="shared" si="112"/>
        <v>BOISE</v>
      </c>
      <c r="H521" t="str">
        <f t="shared" si="113"/>
        <v>ID </v>
      </c>
      <c r="I521" s="1">
        <f t="shared" si="114"/>
        <v>83709</v>
      </c>
      <c r="J521" s="1">
        <f t="shared" si="118"/>
        <v>2083733911</v>
      </c>
      <c r="K521" s="1">
        <f t="shared" si="115"/>
        <v>2083733915</v>
      </c>
    </row>
    <row r="522" spans="1:11" ht="12.75">
      <c r="A522" s="1" t="s">
        <v>11</v>
      </c>
      <c r="B522" t="str">
        <f>T("ID230 SHOSHONE FIELD OFFICE")</f>
        <v>ID230 SHOSHONE FIELD OFFICE</v>
      </c>
      <c r="C522" t="str">
        <f t="shared" si="111"/>
        <v>13875 VERNAL WAY</v>
      </c>
      <c r="D522" t="s">
        <v>0</v>
      </c>
      <c r="E522" t="s">
        <v>0</v>
      </c>
      <c r="F522" t="s">
        <v>0</v>
      </c>
      <c r="G522" t="str">
        <f t="shared" si="112"/>
        <v>BOISE</v>
      </c>
      <c r="H522" t="str">
        <f t="shared" si="113"/>
        <v>ID </v>
      </c>
      <c r="I522" s="1">
        <f t="shared" si="114"/>
        <v>83709</v>
      </c>
      <c r="J522" s="1">
        <f t="shared" si="118"/>
        <v>2083733911</v>
      </c>
      <c r="K522" s="1">
        <f t="shared" si="115"/>
        <v>2083733915</v>
      </c>
    </row>
    <row r="523" spans="1:11" ht="12.75">
      <c r="A523" s="1" t="s">
        <v>11</v>
      </c>
      <c r="B523" t="str">
        <f>T("ID231 CRATERS OF MOON NAT MON")</f>
        <v>ID231 CRATERS OF MOON NAT MON</v>
      </c>
      <c r="C523" t="str">
        <f t="shared" si="111"/>
        <v>13875 VERNAL WAY</v>
      </c>
      <c r="D523" t="s">
        <v>0</v>
      </c>
      <c r="E523" t="s">
        <v>0</v>
      </c>
      <c r="F523" t="s">
        <v>0</v>
      </c>
      <c r="G523" t="str">
        <f t="shared" si="112"/>
        <v>BOISE</v>
      </c>
      <c r="H523" t="str">
        <f t="shared" si="113"/>
        <v>ID </v>
      </c>
      <c r="I523" s="1">
        <f t="shared" si="114"/>
        <v>83709</v>
      </c>
      <c r="J523" s="1">
        <f t="shared" si="118"/>
        <v>2083733911</v>
      </c>
      <c r="K523" s="1">
        <f t="shared" si="115"/>
        <v>2083733915</v>
      </c>
    </row>
    <row r="524" spans="1:11" ht="12.75">
      <c r="A524" s="1" t="s">
        <v>11</v>
      </c>
      <c r="B524" t="str">
        <f>T("ID400 COEUR D'ALENE DIST OFC")</f>
        <v>ID400 COEUR D'ALENE DIST OFC</v>
      </c>
      <c r="C524" t="str">
        <f t="shared" si="111"/>
        <v>13875 VERNAL WAY</v>
      </c>
      <c r="D524" t="s">
        <v>0</v>
      </c>
      <c r="E524" t="s">
        <v>0</v>
      </c>
      <c r="F524" t="s">
        <v>0</v>
      </c>
      <c r="G524" t="str">
        <f t="shared" si="112"/>
        <v>BOISE</v>
      </c>
      <c r="H524" t="str">
        <f t="shared" si="113"/>
        <v>ID </v>
      </c>
      <c r="I524" s="1">
        <f t="shared" si="114"/>
        <v>83709</v>
      </c>
      <c r="J524" s="1">
        <f t="shared" si="118"/>
        <v>2083733911</v>
      </c>
      <c r="K524" s="1">
        <f t="shared" si="115"/>
        <v>2083733915</v>
      </c>
    </row>
    <row r="525" spans="1:11" ht="12.75">
      <c r="A525" s="1" t="s">
        <v>11</v>
      </c>
      <c r="B525" t="str">
        <f>T("ID404 FIRE &amp; AVIATION STAFF")</f>
        <v>ID404 FIRE &amp; AVIATION STAFF</v>
      </c>
      <c r="C525" t="str">
        <f t="shared" si="111"/>
        <v>13875 VERNAL WAY</v>
      </c>
      <c r="D525" t="s">
        <v>0</v>
      </c>
      <c r="E525" t="s">
        <v>0</v>
      </c>
      <c r="F525" t="s">
        <v>0</v>
      </c>
      <c r="G525" t="str">
        <f t="shared" si="112"/>
        <v>BOISE</v>
      </c>
      <c r="H525" t="str">
        <f t="shared" si="113"/>
        <v>ID </v>
      </c>
      <c r="I525" s="1">
        <f t="shared" si="114"/>
        <v>83709</v>
      </c>
      <c r="J525" s="1">
        <f t="shared" si="118"/>
        <v>2083733911</v>
      </c>
      <c r="K525" s="1">
        <f t="shared" si="115"/>
        <v>2083733915</v>
      </c>
    </row>
    <row r="526" spans="1:11" ht="12.75">
      <c r="A526" s="1" t="s">
        <v>11</v>
      </c>
      <c r="B526" t="str">
        <f>T("ID410 COEUR D'ALENE FIELD OFC")</f>
        <v>ID410 COEUR D'ALENE FIELD OFC</v>
      </c>
      <c r="C526" t="str">
        <f t="shared" si="111"/>
        <v>13875 VERNAL WAY</v>
      </c>
      <c r="D526" t="s">
        <v>0</v>
      </c>
      <c r="E526" t="s">
        <v>0</v>
      </c>
      <c r="F526" t="s">
        <v>0</v>
      </c>
      <c r="G526" t="str">
        <f t="shared" si="112"/>
        <v>BOISE</v>
      </c>
      <c r="H526" t="str">
        <f t="shared" si="113"/>
        <v>ID </v>
      </c>
      <c r="I526" s="1">
        <f t="shared" si="114"/>
        <v>83709</v>
      </c>
      <c r="J526" s="1">
        <f t="shared" si="118"/>
        <v>2083733911</v>
      </c>
      <c r="K526" s="1">
        <f t="shared" si="115"/>
        <v>2083733915</v>
      </c>
    </row>
    <row r="527" spans="1:11" ht="12.75">
      <c r="A527" s="1" t="s">
        <v>11</v>
      </c>
      <c r="B527" t="str">
        <f>T("ID420 COTTONWOOD FIELD OFFICE")</f>
        <v>ID420 COTTONWOOD FIELD OFFICE</v>
      </c>
      <c r="C527" t="str">
        <f t="shared" si="111"/>
        <v>13875 VERNAL WAY</v>
      </c>
      <c r="D527" t="s">
        <v>0</v>
      </c>
      <c r="E527" t="s">
        <v>0</v>
      </c>
      <c r="F527" t="s">
        <v>0</v>
      </c>
      <c r="G527" t="str">
        <f t="shared" si="112"/>
        <v>BOISE</v>
      </c>
      <c r="H527" t="str">
        <f t="shared" si="113"/>
        <v>ID </v>
      </c>
      <c r="I527" s="1">
        <f t="shared" si="114"/>
        <v>83709</v>
      </c>
      <c r="J527" s="1">
        <f t="shared" si="118"/>
        <v>2083733911</v>
      </c>
      <c r="K527" s="1">
        <f t="shared" si="115"/>
        <v>2083733915</v>
      </c>
    </row>
    <row r="528" spans="1:11" ht="12.75">
      <c r="A528" s="1" t="s">
        <v>11</v>
      </c>
      <c r="B528" t="str">
        <f>T("CO200 ROYAL GEORGE FIELD OFFIC")</f>
        <v>CO200 ROYAL GEORGE FIELD OFFIC</v>
      </c>
      <c r="C528" t="str">
        <f>T("3170 EAST MAIN STREET")</f>
        <v>3170 EAST MAIN STREET</v>
      </c>
      <c r="D528" t="s">
        <v>0</v>
      </c>
      <c r="E528" t="s">
        <v>0</v>
      </c>
      <c r="F528" t="s">
        <v>0</v>
      </c>
      <c r="G528" t="str">
        <f>T("CAONON CITY")</f>
        <v>CAONON CITY</v>
      </c>
      <c r="H528" t="str">
        <f>T("CO ")</f>
        <v>CO </v>
      </c>
      <c r="I528" s="1">
        <f>N(81212)</f>
        <v>81212</v>
      </c>
      <c r="J528" s="1">
        <f>N(7192698521)</f>
        <v>7192698521</v>
      </c>
      <c r="K528" s="1">
        <f>N(7192698599)</f>
        <v>7192698599</v>
      </c>
    </row>
    <row r="529" spans="1:11" ht="12.75">
      <c r="A529" s="1" t="s">
        <v>11</v>
      </c>
      <c r="B529" t="str">
        <f>T("CO200 ROYAL GORGE FIELD OFFICE")</f>
        <v>CO200 ROYAL GORGE FIELD OFFICE</v>
      </c>
      <c r="C529" t="str">
        <f>T("3170 EAST MAIN STREET")</f>
        <v>3170 EAST MAIN STREET</v>
      </c>
      <c r="D529" t="s">
        <v>0</v>
      </c>
      <c r="E529" t="s">
        <v>0</v>
      </c>
      <c r="F529" t="s">
        <v>0</v>
      </c>
      <c r="G529" t="str">
        <f>T("CANON CITY")</f>
        <v>CANON CITY</v>
      </c>
      <c r="H529" t="str">
        <f>T("CO ")</f>
        <v>CO </v>
      </c>
      <c r="I529" s="1">
        <f>N(81212)</f>
        <v>81212</v>
      </c>
      <c r="J529" s="1">
        <f>N(7192698521)</f>
        <v>7192698521</v>
      </c>
      <c r="K529" s="1">
        <f>N(7192698599)</f>
        <v>7192698599</v>
      </c>
    </row>
    <row r="530" spans="1:11" ht="12.75">
      <c r="A530" s="1" t="s">
        <v>11</v>
      </c>
      <c r="B530" t="str">
        <f>T("BC605 DEPUTY CFO")</f>
        <v>BC605 DEPUTY CFO</v>
      </c>
      <c r="C530" t="str">
        <f>T("BUREAU OF LAND MANAGEMENT")</f>
        <v>BUREAU OF LAND MANAGEMENT</v>
      </c>
      <c r="D530" t="str">
        <f>T("NATIONAL BUSINESS CENTER BC 620")</f>
        <v>NATIONAL BUSINESS CENTER BC 620</v>
      </c>
      <c r="E530" t="str">
        <f>T("DENVER FEDERAL CENTER BUILDING 50")</f>
        <v>DENVER FEDERAL CENTER BUILDING 50</v>
      </c>
      <c r="F530" t="s">
        <v>0</v>
      </c>
      <c r="G530" t="str">
        <f>T("DENVER")</f>
        <v>DENVER</v>
      </c>
      <c r="H530" t="str">
        <f>T("CO ")</f>
        <v>CO </v>
      </c>
      <c r="I530" s="1" t="str">
        <f>T("80225-0047")</f>
        <v>80225-0047</v>
      </c>
      <c r="J530" s="1" t="str">
        <f>T("303-236-6102")</f>
        <v>303-236-6102</v>
      </c>
      <c r="K530" s="1" t="str">
        <f>T("303-236-7124")</f>
        <v>303-236-7124</v>
      </c>
    </row>
    <row r="531" spans="1:11" ht="12.75">
      <c r="A531" s="1" t="s">
        <v>11</v>
      </c>
      <c r="B531" t="str">
        <f>T("AZ100 AZ STRIP DISTRICT OFFICE")</f>
        <v>AZ100 AZ STRIP DISTRICT OFFICE</v>
      </c>
      <c r="C531" t="str">
        <f>T("BUREAU OF LAND MANAGEMENT")</f>
        <v>BUREAU OF LAND MANAGEMENT</v>
      </c>
      <c r="D531" t="str">
        <f>T("222 NORTH CENTRAL AVE")</f>
        <v>222 NORTH CENTRAL AVE</v>
      </c>
      <c r="E531" t="s">
        <v>0</v>
      </c>
      <c r="F531" t="s">
        <v>0</v>
      </c>
      <c r="G531" t="str">
        <f>T("PHOENIX")</f>
        <v>PHOENIX</v>
      </c>
      <c r="H531" t="str">
        <f>T("AZ ")</f>
        <v>AZ </v>
      </c>
      <c r="I531" s="1">
        <f>N(85004)</f>
        <v>85004</v>
      </c>
      <c r="J531" s="1">
        <f>N(6024179325)</f>
        <v>6024179325</v>
      </c>
      <c r="K531" s="1" t="s">
        <v>0</v>
      </c>
    </row>
    <row r="532" spans="1:11" ht="12.75">
      <c r="A532" s="1" t="s">
        <v>11</v>
      </c>
      <c r="B532" t="str">
        <f>T("AZ110 ARIZONA STRIP FIELD")</f>
        <v>AZ110 ARIZONA STRIP FIELD</v>
      </c>
      <c r="C532" t="str">
        <f>T("BUREAU OF LAND MANAGEMENT")</f>
        <v>BUREAU OF LAND MANAGEMENT</v>
      </c>
      <c r="D532" t="str">
        <f>T("222 NORTH CENTRAL AVE")</f>
        <v>222 NORTH CENTRAL AVE</v>
      </c>
      <c r="E532" t="s">
        <v>0</v>
      </c>
      <c r="F532" t="s">
        <v>0</v>
      </c>
      <c r="G532" t="str">
        <f>T("PHOENIX")</f>
        <v>PHOENIX</v>
      </c>
      <c r="H532" t="str">
        <f>T("AZ ")</f>
        <v>AZ </v>
      </c>
      <c r="I532" s="1">
        <f>N(85004)</f>
        <v>85004</v>
      </c>
      <c r="J532" s="1">
        <f>N(6024179325)</f>
        <v>6024179325</v>
      </c>
      <c r="K532" s="1" t="s">
        <v>0</v>
      </c>
    </row>
    <row r="533" spans="1:11" ht="12.75">
      <c r="A533" s="1" t="s">
        <v>11</v>
      </c>
      <c r="B533" t="str">
        <f>T("AZ130 G CANYON PAR NATL MON")</f>
        <v>AZ130 G CANYON PAR NATL MON</v>
      </c>
      <c r="C533" t="str">
        <f>T("BUREAU OF LAND MANAGEMENT")</f>
        <v>BUREAU OF LAND MANAGEMENT</v>
      </c>
      <c r="D533" t="str">
        <f>T("222 NORTH CENTRAL AVE")</f>
        <v>222 NORTH CENTRAL AVE</v>
      </c>
      <c r="E533" t="s">
        <v>0</v>
      </c>
      <c r="F533" t="s">
        <v>0</v>
      </c>
      <c r="G533" t="str">
        <f>T("PHOENIX")</f>
        <v>PHOENIX</v>
      </c>
      <c r="H533" t="str">
        <f>T("AZ ")</f>
        <v>AZ </v>
      </c>
      <c r="I533" s="1">
        <f>N(85004)</f>
        <v>85004</v>
      </c>
      <c r="J533" s="1">
        <f>N(6024179325)</f>
        <v>6024179325</v>
      </c>
      <c r="K533" s="1" t="s">
        <v>0</v>
      </c>
    </row>
    <row r="534" spans="1:11" ht="12.75">
      <c r="A534" s="1" t="s">
        <v>11</v>
      </c>
      <c r="B534" t="str">
        <f>T("AZ200 PHOENIX DISTRICT OFFICE")</f>
        <v>AZ200 PHOENIX DISTRICT OFFICE</v>
      </c>
      <c r="C534" t="str">
        <f>T("BUREAU OF LAND MANAGEMENT")</f>
        <v>BUREAU OF LAND MANAGEMENT</v>
      </c>
      <c r="D534" t="str">
        <f>T("222 NORTH CENTRAL AVE")</f>
        <v>222 NORTH CENTRAL AVE</v>
      </c>
      <c r="E534" t="s">
        <v>0</v>
      </c>
      <c r="F534" t="s">
        <v>0</v>
      </c>
      <c r="G534" t="str">
        <f>T("PHOENIX")</f>
        <v>PHOENIX</v>
      </c>
      <c r="H534" t="str">
        <f>T("AZ ")</f>
        <v>AZ </v>
      </c>
      <c r="I534" s="1">
        <f>N(85004)</f>
        <v>85004</v>
      </c>
      <c r="J534" s="1">
        <f>N(6024179325)</f>
        <v>6024179325</v>
      </c>
      <c r="K534" s="1" t="s">
        <v>0</v>
      </c>
    </row>
    <row r="535" spans="1:11" ht="12.75">
      <c r="A535" s="1" t="s">
        <v>11</v>
      </c>
      <c r="B535" t="str">
        <f>T("AZ210 PHOENIX NORTH FIELD OFC")</f>
        <v>AZ210 PHOENIX NORTH FIELD OFC</v>
      </c>
      <c r="C535" t="str">
        <f aca="true" t="shared" si="119" ref="C535:C549">T("BUREAU OF LAND MANAGEMENT")</f>
        <v>BUREAU OF LAND MANAGEMENT</v>
      </c>
      <c r="D535" t="str">
        <f aca="true" t="shared" si="120" ref="D535:D549">T("222 NORTH CENTRAL AVE")</f>
        <v>222 NORTH CENTRAL AVE</v>
      </c>
      <c r="E535" t="s">
        <v>0</v>
      </c>
      <c r="F535" t="s">
        <v>0</v>
      </c>
      <c r="G535" t="str">
        <f aca="true" t="shared" si="121" ref="G535:G549">T("PHOENIX")</f>
        <v>PHOENIX</v>
      </c>
      <c r="H535" t="str">
        <f aca="true" t="shared" si="122" ref="H535:H549">T("AZ ")</f>
        <v>AZ </v>
      </c>
      <c r="I535" s="1">
        <f aca="true" t="shared" si="123" ref="I535:I549">N(85004)</f>
        <v>85004</v>
      </c>
      <c r="J535" s="1">
        <f aca="true" t="shared" si="124" ref="J535:J549">N(6024179325)</f>
        <v>6024179325</v>
      </c>
      <c r="K535" s="1" t="s">
        <v>0</v>
      </c>
    </row>
    <row r="536" spans="1:11" ht="12.75">
      <c r="A536" s="1" t="s">
        <v>11</v>
      </c>
      <c r="B536" t="str">
        <f>T("AZ220 PHOENIX SOUTH FIELD OFC")</f>
        <v>AZ220 PHOENIX SOUTH FIELD OFC</v>
      </c>
      <c r="C536" t="str">
        <f t="shared" si="119"/>
        <v>BUREAU OF LAND MANAGEMENT</v>
      </c>
      <c r="D536" t="str">
        <f t="shared" si="120"/>
        <v>222 NORTH CENTRAL AVE</v>
      </c>
      <c r="E536" t="s">
        <v>0</v>
      </c>
      <c r="F536" t="s">
        <v>0</v>
      </c>
      <c r="G536" t="str">
        <f t="shared" si="121"/>
        <v>PHOENIX</v>
      </c>
      <c r="H536" t="str">
        <f t="shared" si="122"/>
        <v>AZ </v>
      </c>
      <c r="I536" s="1">
        <f t="shared" si="123"/>
        <v>85004</v>
      </c>
      <c r="J536" s="1">
        <f t="shared" si="124"/>
        <v>6024179325</v>
      </c>
      <c r="K536" s="1" t="s">
        <v>0</v>
      </c>
    </row>
    <row r="537" spans="1:11" ht="12.75">
      <c r="A537" s="1" t="s">
        <v>11</v>
      </c>
      <c r="B537" t="str">
        <f>T("AZ230 AGUA FRIA NATL MONUMENT")</f>
        <v>AZ230 AGUA FRIA NATL MONUMENT</v>
      </c>
      <c r="C537" t="str">
        <f t="shared" si="119"/>
        <v>BUREAU OF LAND MANAGEMENT</v>
      </c>
      <c r="D537" t="str">
        <f t="shared" si="120"/>
        <v>222 NORTH CENTRAL AVE</v>
      </c>
      <c r="E537" t="s">
        <v>0</v>
      </c>
      <c r="F537" t="s">
        <v>0</v>
      </c>
      <c r="G537" t="str">
        <f t="shared" si="121"/>
        <v>PHOENIX</v>
      </c>
      <c r="H537" t="str">
        <f t="shared" si="122"/>
        <v>AZ </v>
      </c>
      <c r="I537" s="1">
        <f t="shared" si="123"/>
        <v>85004</v>
      </c>
      <c r="J537" s="1">
        <f t="shared" si="124"/>
        <v>6024179325</v>
      </c>
      <c r="K537" s="1" t="s">
        <v>0</v>
      </c>
    </row>
    <row r="538" spans="1:11" ht="12.75">
      <c r="A538" s="1" t="s">
        <v>11</v>
      </c>
      <c r="B538" t="str">
        <f>T("AZ240 SONORAN DESERT NATL MON")</f>
        <v>AZ240 SONORAN DESERT NATL MON</v>
      </c>
      <c r="C538" t="str">
        <f t="shared" si="119"/>
        <v>BUREAU OF LAND MANAGEMENT</v>
      </c>
      <c r="D538" t="str">
        <f t="shared" si="120"/>
        <v>222 NORTH CENTRAL AVE</v>
      </c>
      <c r="E538" t="s">
        <v>0</v>
      </c>
      <c r="F538" t="s">
        <v>0</v>
      </c>
      <c r="G538" t="str">
        <f t="shared" si="121"/>
        <v>PHOENIX</v>
      </c>
      <c r="H538" t="str">
        <f t="shared" si="122"/>
        <v>AZ </v>
      </c>
      <c r="I538" s="1">
        <f t="shared" si="123"/>
        <v>85004</v>
      </c>
      <c r="J538" s="1">
        <f t="shared" si="124"/>
        <v>6024179325</v>
      </c>
      <c r="K538" s="1" t="s">
        <v>0</v>
      </c>
    </row>
    <row r="539" spans="1:11" ht="12.75">
      <c r="A539" s="1" t="s">
        <v>11</v>
      </c>
      <c r="B539" t="str">
        <f>T("AZ300 COLORADO RIVER DIST OFC")</f>
        <v>AZ300 COLORADO RIVER DIST OFC</v>
      </c>
      <c r="C539" t="str">
        <f t="shared" si="119"/>
        <v>BUREAU OF LAND MANAGEMENT</v>
      </c>
      <c r="D539" t="str">
        <f t="shared" si="120"/>
        <v>222 NORTH CENTRAL AVE</v>
      </c>
      <c r="E539" t="s">
        <v>0</v>
      </c>
      <c r="F539" t="s">
        <v>0</v>
      </c>
      <c r="G539" t="str">
        <f t="shared" si="121"/>
        <v>PHOENIX</v>
      </c>
      <c r="H539" t="str">
        <f t="shared" si="122"/>
        <v>AZ </v>
      </c>
      <c r="I539" s="1">
        <f t="shared" si="123"/>
        <v>85004</v>
      </c>
      <c r="J539" s="1">
        <f t="shared" si="124"/>
        <v>6024179325</v>
      </c>
      <c r="K539" s="1" t="s">
        <v>0</v>
      </c>
    </row>
    <row r="540" spans="1:11" ht="12.75">
      <c r="A540" s="1" t="s">
        <v>11</v>
      </c>
      <c r="B540" t="str">
        <f>T("AZ310 KINGMAN FIELD OFC")</f>
        <v>AZ310 KINGMAN FIELD OFC</v>
      </c>
      <c r="C540" t="str">
        <f t="shared" si="119"/>
        <v>BUREAU OF LAND MANAGEMENT</v>
      </c>
      <c r="D540" t="str">
        <f t="shared" si="120"/>
        <v>222 NORTH CENTRAL AVE</v>
      </c>
      <c r="E540" t="s">
        <v>0</v>
      </c>
      <c r="F540" t="s">
        <v>0</v>
      </c>
      <c r="G540" t="str">
        <f t="shared" si="121"/>
        <v>PHOENIX</v>
      </c>
      <c r="H540" t="str">
        <f t="shared" si="122"/>
        <v>AZ </v>
      </c>
      <c r="I540" s="1">
        <f t="shared" si="123"/>
        <v>85004</v>
      </c>
      <c r="J540" s="1">
        <f t="shared" si="124"/>
        <v>6024179325</v>
      </c>
      <c r="K540" s="1" t="s">
        <v>0</v>
      </c>
    </row>
    <row r="541" spans="1:11" ht="12.75">
      <c r="A541" s="1" t="s">
        <v>11</v>
      </c>
      <c r="B541" t="str">
        <f>T("AZ320 YUMA FIELD OFC")</f>
        <v>AZ320 YUMA FIELD OFC</v>
      </c>
      <c r="C541" t="str">
        <f t="shared" si="119"/>
        <v>BUREAU OF LAND MANAGEMENT</v>
      </c>
      <c r="D541" t="str">
        <f t="shared" si="120"/>
        <v>222 NORTH CENTRAL AVE</v>
      </c>
      <c r="E541" t="s">
        <v>0</v>
      </c>
      <c r="F541" t="s">
        <v>0</v>
      </c>
      <c r="G541" t="str">
        <f t="shared" si="121"/>
        <v>PHOENIX</v>
      </c>
      <c r="H541" t="str">
        <f t="shared" si="122"/>
        <v>AZ </v>
      </c>
      <c r="I541" s="1">
        <f t="shared" si="123"/>
        <v>85004</v>
      </c>
      <c r="J541" s="1">
        <f t="shared" si="124"/>
        <v>6024179325</v>
      </c>
      <c r="K541" s="1" t="s">
        <v>0</v>
      </c>
    </row>
    <row r="542" spans="1:11" ht="12.75">
      <c r="A542" s="1" t="s">
        <v>11</v>
      </c>
      <c r="B542" t="str">
        <f>T("AZ330 LAKE HAVASU FIELD OFC")</f>
        <v>AZ330 LAKE HAVASU FIELD OFC</v>
      </c>
      <c r="C542" t="str">
        <f t="shared" si="119"/>
        <v>BUREAU OF LAND MANAGEMENT</v>
      </c>
      <c r="D542" t="str">
        <f t="shared" si="120"/>
        <v>222 NORTH CENTRAL AVE</v>
      </c>
      <c r="E542" t="s">
        <v>0</v>
      </c>
      <c r="F542" t="s">
        <v>0</v>
      </c>
      <c r="G542" t="str">
        <f t="shared" si="121"/>
        <v>PHOENIX</v>
      </c>
      <c r="H542" t="str">
        <f t="shared" si="122"/>
        <v>AZ </v>
      </c>
      <c r="I542" s="1">
        <f t="shared" si="123"/>
        <v>85004</v>
      </c>
      <c r="J542" s="1">
        <f t="shared" si="124"/>
        <v>6024179325</v>
      </c>
      <c r="K542" s="1" t="s">
        <v>0</v>
      </c>
    </row>
    <row r="543" spans="1:11" ht="12.75">
      <c r="A543" s="1" t="s">
        <v>11</v>
      </c>
      <c r="B543" t="str">
        <f>T("AZ400 GILA DISTRICT OFFICE")</f>
        <v>AZ400 GILA DISTRICT OFFICE</v>
      </c>
      <c r="C543" t="str">
        <f t="shared" si="119"/>
        <v>BUREAU OF LAND MANAGEMENT</v>
      </c>
      <c r="D543" t="str">
        <f t="shared" si="120"/>
        <v>222 NORTH CENTRAL AVE</v>
      </c>
      <c r="E543" t="s">
        <v>0</v>
      </c>
      <c r="F543" t="s">
        <v>0</v>
      </c>
      <c r="G543" t="str">
        <f t="shared" si="121"/>
        <v>PHOENIX</v>
      </c>
      <c r="H543" t="str">
        <f t="shared" si="122"/>
        <v>AZ </v>
      </c>
      <c r="I543" s="1">
        <f t="shared" si="123"/>
        <v>85004</v>
      </c>
      <c r="J543" s="1">
        <f t="shared" si="124"/>
        <v>6024179325</v>
      </c>
      <c r="K543" s="1" t="s">
        <v>0</v>
      </c>
    </row>
    <row r="544" spans="1:11" ht="12.75">
      <c r="A544" s="1" t="s">
        <v>11</v>
      </c>
      <c r="B544" t="str">
        <f>T("AZ410 SAFFORD FIELD OFC")</f>
        <v>AZ410 SAFFORD FIELD OFC</v>
      </c>
      <c r="C544" t="str">
        <f t="shared" si="119"/>
        <v>BUREAU OF LAND MANAGEMENT</v>
      </c>
      <c r="D544" t="str">
        <f t="shared" si="120"/>
        <v>222 NORTH CENTRAL AVE</v>
      </c>
      <c r="E544" t="s">
        <v>0</v>
      </c>
      <c r="F544" t="s">
        <v>0</v>
      </c>
      <c r="G544" t="str">
        <f t="shared" si="121"/>
        <v>PHOENIX</v>
      </c>
      <c r="H544" t="str">
        <f t="shared" si="122"/>
        <v>AZ </v>
      </c>
      <c r="I544" s="1">
        <f t="shared" si="123"/>
        <v>85004</v>
      </c>
      <c r="J544" s="1">
        <f t="shared" si="124"/>
        <v>6024179325</v>
      </c>
      <c r="K544" s="1" t="s">
        <v>0</v>
      </c>
    </row>
    <row r="545" spans="1:11" ht="12.75">
      <c r="A545" s="1" t="s">
        <v>11</v>
      </c>
      <c r="B545" t="str">
        <f>T("AZ411 GILA BX RIP NAT CON AR")</f>
        <v>AZ411 GILA BX RIP NAT CON AR</v>
      </c>
      <c r="C545" t="str">
        <f t="shared" si="119"/>
        <v>BUREAU OF LAND MANAGEMENT</v>
      </c>
      <c r="D545" t="str">
        <f t="shared" si="120"/>
        <v>222 NORTH CENTRAL AVE</v>
      </c>
      <c r="E545" t="s">
        <v>0</v>
      </c>
      <c r="F545" t="s">
        <v>0</v>
      </c>
      <c r="G545" t="str">
        <f t="shared" si="121"/>
        <v>PHOENIX</v>
      </c>
      <c r="H545" t="str">
        <f t="shared" si="122"/>
        <v>AZ </v>
      </c>
      <c r="I545" s="1">
        <f t="shared" si="123"/>
        <v>85004</v>
      </c>
      <c r="J545" s="1">
        <f t="shared" si="124"/>
        <v>6024179325</v>
      </c>
      <c r="K545" s="1" t="s">
        <v>0</v>
      </c>
    </row>
    <row r="546" spans="1:11" ht="12.75">
      <c r="A546" s="1" t="s">
        <v>11</v>
      </c>
      <c r="B546" t="str">
        <f>T("AZ420 TUCSON FIELD OFC")</f>
        <v>AZ420 TUCSON FIELD OFC</v>
      </c>
      <c r="C546" t="str">
        <f t="shared" si="119"/>
        <v>BUREAU OF LAND MANAGEMENT</v>
      </c>
      <c r="D546" t="str">
        <f t="shared" si="120"/>
        <v>222 NORTH CENTRAL AVE</v>
      </c>
      <c r="E546" t="s">
        <v>0</v>
      </c>
      <c r="F546" t="s">
        <v>0</v>
      </c>
      <c r="G546" t="str">
        <f t="shared" si="121"/>
        <v>PHOENIX</v>
      </c>
      <c r="H546" t="str">
        <f t="shared" si="122"/>
        <v>AZ </v>
      </c>
      <c r="I546" s="1">
        <f t="shared" si="123"/>
        <v>85004</v>
      </c>
      <c r="J546" s="1">
        <f t="shared" si="124"/>
        <v>6024179325</v>
      </c>
      <c r="K546" s="1" t="s">
        <v>0</v>
      </c>
    </row>
    <row r="547" spans="1:11" ht="12.75">
      <c r="A547" s="1" t="s">
        <v>11</v>
      </c>
      <c r="B547" t="str">
        <f>T("AZ421 LAS CIENEGAS NATL CON AR")</f>
        <v>AZ421 LAS CIENEGAS NATL CON AR</v>
      </c>
      <c r="C547" t="str">
        <f t="shared" si="119"/>
        <v>BUREAU OF LAND MANAGEMENT</v>
      </c>
      <c r="D547" t="str">
        <f t="shared" si="120"/>
        <v>222 NORTH CENTRAL AVE</v>
      </c>
      <c r="E547" t="s">
        <v>0</v>
      </c>
      <c r="F547" t="s">
        <v>0</v>
      </c>
      <c r="G547" t="str">
        <f t="shared" si="121"/>
        <v>PHOENIX</v>
      </c>
      <c r="H547" t="str">
        <f t="shared" si="122"/>
        <v>AZ </v>
      </c>
      <c r="I547" s="1">
        <f t="shared" si="123"/>
        <v>85004</v>
      </c>
      <c r="J547" s="1">
        <f t="shared" si="124"/>
        <v>6024179325</v>
      </c>
      <c r="K547" s="1" t="s">
        <v>0</v>
      </c>
    </row>
    <row r="548" spans="1:11" ht="12.75">
      <c r="A548" s="1" t="s">
        <v>11</v>
      </c>
      <c r="B548" t="str">
        <f>T("AZ422 SAN PEDRO RIP NAT CON AR")</f>
        <v>AZ422 SAN PEDRO RIP NAT CON AR</v>
      </c>
      <c r="C548" t="str">
        <f t="shared" si="119"/>
        <v>BUREAU OF LAND MANAGEMENT</v>
      </c>
      <c r="D548" t="str">
        <f t="shared" si="120"/>
        <v>222 NORTH CENTRAL AVE</v>
      </c>
      <c r="E548" t="s">
        <v>0</v>
      </c>
      <c r="F548" t="s">
        <v>0</v>
      </c>
      <c r="G548" t="str">
        <f t="shared" si="121"/>
        <v>PHOENIX</v>
      </c>
      <c r="H548" t="str">
        <f t="shared" si="122"/>
        <v>AZ </v>
      </c>
      <c r="I548" s="1">
        <f t="shared" si="123"/>
        <v>85004</v>
      </c>
      <c r="J548" s="1">
        <f t="shared" si="124"/>
        <v>6024179325</v>
      </c>
      <c r="K548" s="1" t="s">
        <v>0</v>
      </c>
    </row>
    <row r="549" spans="1:11" ht="12.75">
      <c r="A549" s="1" t="s">
        <v>11</v>
      </c>
      <c r="B549" t="str">
        <f>T("AZ430 IRONWOOD FOREST NATL MON")</f>
        <v>AZ430 IRONWOOD FOREST NATL MON</v>
      </c>
      <c r="C549" t="str">
        <f t="shared" si="119"/>
        <v>BUREAU OF LAND MANAGEMENT</v>
      </c>
      <c r="D549" t="str">
        <f t="shared" si="120"/>
        <v>222 NORTH CENTRAL AVE</v>
      </c>
      <c r="E549" t="s">
        <v>0</v>
      </c>
      <c r="F549" t="s">
        <v>0</v>
      </c>
      <c r="G549" t="str">
        <f t="shared" si="121"/>
        <v>PHOENIX</v>
      </c>
      <c r="H549" t="str">
        <f t="shared" si="122"/>
        <v>AZ </v>
      </c>
      <c r="I549" s="1">
        <f t="shared" si="123"/>
        <v>85004</v>
      </c>
      <c r="J549" s="1">
        <f t="shared" si="124"/>
        <v>6024179325</v>
      </c>
      <c r="K549" s="1" t="s">
        <v>0</v>
      </c>
    </row>
    <row r="550" spans="1:11" ht="12.75">
      <c r="A550" s="1" t="s">
        <v>11</v>
      </c>
      <c r="B550" t="str">
        <f>T("NM100 ALBUQUERQUE DIST OFFICE")</f>
        <v>NM100 ALBUQUERQUE DIST OFFICE</v>
      </c>
      <c r="C550" t="str">
        <f>T("1474 RODEO ROAD")</f>
        <v>1474 RODEO ROAD</v>
      </c>
      <c r="D550" t="s">
        <v>0</v>
      </c>
      <c r="E550" t="s">
        <v>0</v>
      </c>
      <c r="F550" t="s">
        <v>0</v>
      </c>
      <c r="G550" t="str">
        <f>T("SANTA FE")</f>
        <v>SANTA FE</v>
      </c>
      <c r="H550" t="str">
        <f>T("NM ")</f>
        <v>NM </v>
      </c>
      <c r="I550" s="1">
        <f>N(87505)</f>
        <v>87505</v>
      </c>
      <c r="J550" s="1">
        <f>N(5054387630)</f>
        <v>5054387630</v>
      </c>
      <c r="K550" s="1">
        <f>N(5054387435)</f>
        <v>5054387435</v>
      </c>
    </row>
    <row r="551" spans="1:11" ht="12.75">
      <c r="A551" s="1" t="s">
        <v>11</v>
      </c>
      <c r="B551" t="str">
        <f>T("NM220 TAOS FIELD OFFICE")</f>
        <v>NM220 TAOS FIELD OFFICE</v>
      </c>
      <c r="C551" t="str">
        <f>T("1474 RODEO ROAD")</f>
        <v>1474 RODEO ROAD</v>
      </c>
      <c r="D551" t="s">
        <v>0</v>
      </c>
      <c r="E551" t="s">
        <v>0</v>
      </c>
      <c r="F551" t="s">
        <v>0</v>
      </c>
      <c r="G551" t="str">
        <f>T("SANTA FE")</f>
        <v>SANTA FE</v>
      </c>
      <c r="H551" t="str">
        <f>T("NM ")</f>
        <v>NM </v>
      </c>
      <c r="I551" s="1">
        <f>N(87505)</f>
        <v>87505</v>
      </c>
      <c r="J551" s="1">
        <f>N(5054387630)</f>
        <v>5054387630</v>
      </c>
      <c r="K551" s="1">
        <f>N(5054387435)</f>
        <v>5054387435</v>
      </c>
    </row>
    <row r="552" spans="1:11" ht="12.75">
      <c r="A552" s="1" t="s">
        <v>11</v>
      </c>
      <c r="B552" t="str">
        <f>T("NM500 PECOS DISTRICT OFFICE")</f>
        <v>NM500 PECOS DISTRICT OFFICE</v>
      </c>
      <c r="C552" t="str">
        <f>T("1474 RODEO ROAD")</f>
        <v>1474 RODEO ROAD</v>
      </c>
      <c r="D552" t="s">
        <v>0</v>
      </c>
      <c r="E552" t="s">
        <v>0</v>
      </c>
      <c r="F552" t="s">
        <v>0</v>
      </c>
      <c r="G552" t="str">
        <f>T("SANTA FE")</f>
        <v>SANTA FE</v>
      </c>
      <c r="H552" t="str">
        <f>T("NM ")</f>
        <v>NM </v>
      </c>
      <c r="I552" s="1">
        <f>N(87505)</f>
        <v>87505</v>
      </c>
      <c r="J552" s="1">
        <f>N(5054387630)</f>
        <v>5054387630</v>
      </c>
      <c r="K552" s="1">
        <f>N(5054387435)</f>
        <v>5054387435</v>
      </c>
    </row>
    <row r="553" spans="1:11" ht="12.75">
      <c r="A553" s="1" t="s">
        <v>11</v>
      </c>
      <c r="B553" t="str">
        <f>T("WO121 OFC OF LAW ENFRCMNT  AZ")</f>
        <v>WO121 OFC OF LAW ENFRCMNT  AZ</v>
      </c>
      <c r="C553" t="str">
        <f>T("1620 L STREET NW")</f>
        <v>1620 L STREET NW</v>
      </c>
      <c r="D553" t="s">
        <v>0</v>
      </c>
      <c r="E553" t="s">
        <v>0</v>
      </c>
      <c r="F553" t="s">
        <v>0</v>
      </c>
      <c r="G553" t="str">
        <f>T("WASHINGTON")</f>
        <v>WASHINGTON</v>
      </c>
      <c r="H553" t="str">
        <f>T("DC ")</f>
        <v>DC </v>
      </c>
      <c r="I553" s="1">
        <f>N(20036)</f>
        <v>20036</v>
      </c>
      <c r="J553" s="1">
        <f>N(2024525170)</f>
        <v>2024525170</v>
      </c>
      <c r="K553" s="1">
        <f>N(2024525141)</f>
        <v>2024525141</v>
      </c>
    </row>
    <row r="554" spans="1:11" ht="12.75">
      <c r="A554" s="1" t="s">
        <v>11</v>
      </c>
      <c r="B554" t="str">
        <f>T("WO124 OFC OF LAW ENFRCMNT  ID")</f>
        <v>WO124 OFC OF LAW ENFRCMNT  ID</v>
      </c>
      <c r="C554" t="str">
        <f>T("1620 L STREET NW")</f>
        <v>1620 L STREET NW</v>
      </c>
      <c r="D554" t="s">
        <v>0</v>
      </c>
      <c r="E554" t="s">
        <v>0</v>
      </c>
      <c r="F554" t="s">
        <v>0</v>
      </c>
      <c r="G554" t="str">
        <f>T("WASHINGTON")</f>
        <v>WASHINGTON</v>
      </c>
      <c r="H554" t="str">
        <f>T("DC ")</f>
        <v>DC </v>
      </c>
      <c r="I554" s="1">
        <f>N(20036)</f>
        <v>20036</v>
      </c>
      <c r="J554" s="1">
        <f>N(2024525170)</f>
        <v>2024525170</v>
      </c>
      <c r="K554" s="1">
        <f>N(2024525141)</f>
        <v>2024525141</v>
      </c>
    </row>
    <row r="555" spans="1:11" ht="12.75">
      <c r="A555" s="1" t="s">
        <v>11</v>
      </c>
      <c r="B555" t="str">
        <f>T("AZ300 COLORADO RIVER DIST OFC")</f>
        <v>AZ300 COLORADO RIVER DIST OFC</v>
      </c>
      <c r="C555" t="str">
        <f aca="true" t="shared" si="125" ref="C555:C560">T("BUREAU OF LAND MANAGEMENT")</f>
        <v>BUREAU OF LAND MANAGEMENT</v>
      </c>
      <c r="D555" t="str">
        <f aca="true" t="shared" si="126" ref="D555:D560">T("222 NORTH CENTRAL AVENUE")</f>
        <v>222 NORTH CENTRAL AVENUE</v>
      </c>
      <c r="E555" t="s">
        <v>0</v>
      </c>
      <c r="F555" t="s">
        <v>0</v>
      </c>
      <c r="G555" t="str">
        <f aca="true" t="shared" si="127" ref="G555:G560">T("PHOENIX")</f>
        <v>PHOENIX</v>
      </c>
      <c r="H555" t="str">
        <f aca="true" t="shared" si="128" ref="H555:H560">T("AZ ")</f>
        <v>AZ </v>
      </c>
      <c r="I555" s="1">
        <f aca="true" t="shared" si="129" ref="I555:I560">N(85004)</f>
        <v>85004</v>
      </c>
      <c r="J555" s="1">
        <f aca="true" t="shared" si="130" ref="J555:J560">N(6024179289)</f>
        <v>6024179289</v>
      </c>
      <c r="K555" s="1">
        <f aca="true" t="shared" si="131" ref="K555:K560">N(6024179462)</f>
        <v>6024179462</v>
      </c>
    </row>
    <row r="556" spans="1:11" ht="12.75">
      <c r="A556" s="1" t="s">
        <v>11</v>
      </c>
      <c r="B556" t="str">
        <f>T("AZ320 YUMA FIELD OFC")</f>
        <v>AZ320 YUMA FIELD OFC</v>
      </c>
      <c r="C556" t="str">
        <f t="shared" si="125"/>
        <v>BUREAU OF LAND MANAGEMENT</v>
      </c>
      <c r="D556" t="str">
        <f t="shared" si="126"/>
        <v>222 NORTH CENTRAL AVENUE</v>
      </c>
      <c r="E556" t="s">
        <v>0</v>
      </c>
      <c r="F556" t="s">
        <v>0</v>
      </c>
      <c r="G556" t="str">
        <f t="shared" si="127"/>
        <v>PHOENIX</v>
      </c>
      <c r="H556" t="str">
        <f t="shared" si="128"/>
        <v>AZ </v>
      </c>
      <c r="I556" s="1">
        <f t="shared" si="129"/>
        <v>85004</v>
      </c>
      <c r="J556" s="1">
        <f t="shared" si="130"/>
        <v>6024179289</v>
      </c>
      <c r="K556" s="1">
        <f t="shared" si="131"/>
        <v>6024179462</v>
      </c>
    </row>
    <row r="557" spans="1:11" ht="12.75">
      <c r="A557" s="1" t="s">
        <v>11</v>
      </c>
      <c r="B557" t="str">
        <f>T("AZ330 LAKE HAVASU FIELD OFC")</f>
        <v>AZ330 LAKE HAVASU FIELD OFC</v>
      </c>
      <c r="C557" t="str">
        <f t="shared" si="125"/>
        <v>BUREAU OF LAND MANAGEMENT</v>
      </c>
      <c r="D557" t="str">
        <f t="shared" si="126"/>
        <v>222 NORTH CENTRAL AVENUE</v>
      </c>
      <c r="E557" t="s">
        <v>0</v>
      </c>
      <c r="F557" t="s">
        <v>0</v>
      </c>
      <c r="G557" t="str">
        <f t="shared" si="127"/>
        <v>PHOENIX</v>
      </c>
      <c r="H557" t="str">
        <f t="shared" si="128"/>
        <v>AZ </v>
      </c>
      <c r="I557" s="1">
        <f t="shared" si="129"/>
        <v>85004</v>
      </c>
      <c r="J557" s="1">
        <f t="shared" si="130"/>
        <v>6024179289</v>
      </c>
      <c r="K557" s="1">
        <f t="shared" si="131"/>
        <v>6024179462</v>
      </c>
    </row>
    <row r="558" spans="1:11" ht="12.75">
      <c r="A558" s="1" t="s">
        <v>11</v>
      </c>
      <c r="B558" t="str">
        <f>T("AZ400 GILA DISTRICT OFFICE")</f>
        <v>AZ400 GILA DISTRICT OFFICE</v>
      </c>
      <c r="C558" t="str">
        <f t="shared" si="125"/>
        <v>BUREAU OF LAND MANAGEMENT</v>
      </c>
      <c r="D558" t="str">
        <f t="shared" si="126"/>
        <v>222 NORTH CENTRAL AVENUE</v>
      </c>
      <c r="E558" t="s">
        <v>0</v>
      </c>
      <c r="F558" t="s">
        <v>0</v>
      </c>
      <c r="G558" t="str">
        <f t="shared" si="127"/>
        <v>PHOENIX</v>
      </c>
      <c r="H558" t="str">
        <f t="shared" si="128"/>
        <v>AZ </v>
      </c>
      <c r="I558" s="1">
        <f t="shared" si="129"/>
        <v>85004</v>
      </c>
      <c r="J558" s="1">
        <f t="shared" si="130"/>
        <v>6024179289</v>
      </c>
      <c r="K558" s="1">
        <f t="shared" si="131"/>
        <v>6024179462</v>
      </c>
    </row>
    <row r="559" spans="1:11" ht="12.75">
      <c r="A559" s="1" t="s">
        <v>11</v>
      </c>
      <c r="B559" t="str">
        <f>T("AZ420 TUCSON FIELD OFC")</f>
        <v>AZ420 TUCSON FIELD OFC</v>
      </c>
      <c r="C559" t="str">
        <f t="shared" si="125"/>
        <v>BUREAU OF LAND MANAGEMENT</v>
      </c>
      <c r="D559" t="str">
        <f t="shared" si="126"/>
        <v>222 NORTH CENTRAL AVENUE</v>
      </c>
      <c r="E559" t="s">
        <v>0</v>
      </c>
      <c r="F559" t="s">
        <v>0</v>
      </c>
      <c r="G559" t="str">
        <f t="shared" si="127"/>
        <v>PHOENIX</v>
      </c>
      <c r="H559" t="str">
        <f t="shared" si="128"/>
        <v>AZ </v>
      </c>
      <c r="I559" s="1">
        <f t="shared" si="129"/>
        <v>85004</v>
      </c>
      <c r="J559" s="1">
        <f t="shared" si="130"/>
        <v>6024179289</v>
      </c>
      <c r="K559" s="1">
        <f t="shared" si="131"/>
        <v>6024179462</v>
      </c>
    </row>
    <row r="560" spans="1:11" ht="12.75">
      <c r="A560" s="1" t="s">
        <v>11</v>
      </c>
      <c r="B560" t="str">
        <f>T("AZ422 SAN PEDRO RIP NAT CON AR")</f>
        <v>AZ422 SAN PEDRO RIP NAT CON AR</v>
      </c>
      <c r="C560" t="str">
        <f t="shared" si="125"/>
        <v>BUREAU OF LAND MANAGEMENT</v>
      </c>
      <c r="D560" t="str">
        <f t="shared" si="126"/>
        <v>222 NORTH CENTRAL AVENUE</v>
      </c>
      <c r="E560" t="s">
        <v>0</v>
      </c>
      <c r="F560" t="s">
        <v>0</v>
      </c>
      <c r="G560" t="str">
        <f t="shared" si="127"/>
        <v>PHOENIX</v>
      </c>
      <c r="H560" t="str">
        <f t="shared" si="128"/>
        <v>AZ </v>
      </c>
      <c r="I560" s="1">
        <f t="shared" si="129"/>
        <v>85004</v>
      </c>
      <c r="J560" s="1">
        <f t="shared" si="130"/>
        <v>6024179289</v>
      </c>
      <c r="K560" s="1">
        <f t="shared" si="131"/>
        <v>6024179462</v>
      </c>
    </row>
    <row r="561" spans="1:11" ht="12.75">
      <c r="A561" s="1" t="s">
        <v>11</v>
      </c>
      <c r="B561" t="str">
        <f>T("CO920 DIV OF ENERGY  RTY &amp; MIN")</f>
        <v>CO920 DIV OF ENERGY  RTY &amp; MIN</v>
      </c>
      <c r="C561" t="str">
        <f>T("2850 YOUNGFIELD STREET")</f>
        <v>2850 YOUNGFIELD STREET</v>
      </c>
      <c r="D561" t="s">
        <v>0</v>
      </c>
      <c r="E561" t="s">
        <v>0</v>
      </c>
      <c r="F561" t="s">
        <v>0</v>
      </c>
      <c r="G561" t="str">
        <f>T("LAKEWOOD")</f>
        <v>LAKEWOOD</v>
      </c>
      <c r="H561" t="str">
        <f>T("CO ")</f>
        <v>CO </v>
      </c>
      <c r="I561" s="1">
        <f>N(80215)</f>
        <v>80215</v>
      </c>
      <c r="J561" s="1" t="str">
        <f>T("303-239-3950")</f>
        <v>303-239-3950</v>
      </c>
      <c r="K561" s="1" t="str">
        <f>T("303-239-3933")</f>
        <v>303-239-3933</v>
      </c>
    </row>
    <row r="562" spans="1:11" ht="12.75">
      <c r="A562" s="1" t="s">
        <v>11</v>
      </c>
      <c r="B562" t="str">
        <f>T("MT928 O &amp; G FIELD STATION")</f>
        <v>MT928 O &amp; G FIELD STATION</v>
      </c>
      <c r="C562" t="str">
        <f>T("5001 SOUTHGATE DRIVE")</f>
        <v>5001 SOUTHGATE DRIVE</v>
      </c>
      <c r="D562" t="s">
        <v>0</v>
      </c>
      <c r="E562" t="s">
        <v>0</v>
      </c>
      <c r="F562" t="s">
        <v>0</v>
      </c>
      <c r="G562" t="str">
        <f>T("BILLINGS")</f>
        <v>BILLINGS</v>
      </c>
      <c r="H562" t="str">
        <f>T("MT ")</f>
        <v>MT </v>
      </c>
      <c r="I562" s="1">
        <f>N(59107)</f>
        <v>59107</v>
      </c>
      <c r="J562" s="1" t="str">
        <f>T("406 896 5203")</f>
        <v>406 896 5203</v>
      </c>
      <c r="K562" s="1" t="str">
        <f>T("406 896 5020")</f>
        <v>406 896 5020</v>
      </c>
    </row>
    <row r="563" spans="1:11" ht="12.75">
      <c r="A563" s="1" t="s">
        <v>11</v>
      </c>
      <c r="B563" t="str">
        <f>T("MT928 O &amp; G FIELD STATION")</f>
        <v>MT928 O &amp; G FIELD STATION</v>
      </c>
      <c r="C563" t="str">
        <f>T("5001 SOUTHGATE DRIVE")</f>
        <v>5001 SOUTHGATE DRIVE</v>
      </c>
      <c r="D563" t="s">
        <v>0</v>
      </c>
      <c r="E563" t="s">
        <v>0</v>
      </c>
      <c r="F563" t="s">
        <v>0</v>
      </c>
      <c r="G563" t="str">
        <f>T("BILLINGS")</f>
        <v>BILLINGS</v>
      </c>
      <c r="H563" t="str">
        <f>T("MT ")</f>
        <v>MT </v>
      </c>
      <c r="I563" s="1">
        <f>N(59107)</f>
        <v>59107</v>
      </c>
      <c r="J563" s="1" t="str">
        <f>T("406 896 5203")</f>
        <v>406 896 5203</v>
      </c>
      <c r="K563" s="1" t="str">
        <f>T("406 895 5020")</f>
        <v>406 895 5020</v>
      </c>
    </row>
    <row r="564" spans="1:11" ht="12.75">
      <c r="A564" s="1" t="s">
        <v>11</v>
      </c>
      <c r="B564" t="str">
        <f>T("MT013 BILLNGS FO BRNCH OF FIRE")</f>
        <v>MT013 BILLNGS FO BRNCH OF FIRE</v>
      </c>
      <c r="C564" t="str">
        <f>T("5001 SOUTHGATE DR")</f>
        <v>5001 SOUTHGATE DR</v>
      </c>
      <c r="D564" t="str">
        <f>T("PO BOX 36800")</f>
        <v>PO BOX 36800</v>
      </c>
      <c r="E564" t="s">
        <v>0</v>
      </c>
      <c r="F564" t="s">
        <v>0</v>
      </c>
      <c r="G564" t="str">
        <f>T("BILLINGS")</f>
        <v>BILLINGS</v>
      </c>
      <c r="H564" t="str">
        <f>T("MT ")</f>
        <v>MT </v>
      </c>
      <c r="I564" s="1">
        <f>N(59107)</f>
        <v>59107</v>
      </c>
      <c r="J564" s="1" t="str">
        <f>T("406-896-5203")</f>
        <v>406-896-5203</v>
      </c>
      <c r="K564" s="1" t="str">
        <f>T("406-896-5296")</f>
        <v>406-896-5296</v>
      </c>
    </row>
    <row r="565" spans="1:11" ht="12.75">
      <c r="A565" s="1" t="s">
        <v>11</v>
      </c>
      <c r="B565" t="str">
        <f>T("CA110 CENCAL SUPPORT")</f>
        <v>CA110 CENCAL SUPPORT</v>
      </c>
      <c r="C565" t="str">
        <f>T("3801 PERGASUS DR")</f>
        <v>3801 PERGASUS DR</v>
      </c>
      <c r="D565" t="s">
        <v>0</v>
      </c>
      <c r="E565" t="s">
        <v>0</v>
      </c>
      <c r="F565" t="s">
        <v>0</v>
      </c>
      <c r="G565" t="str">
        <f>T("BAKERSFIELD")</f>
        <v>BAKERSFIELD</v>
      </c>
      <c r="H565" t="str">
        <f>T("CA ")</f>
        <v>CA </v>
      </c>
      <c r="I565" s="1">
        <f>N(93308)</f>
        <v>93308</v>
      </c>
      <c r="J565" s="1">
        <f>N(66133916021)</f>
        <v>66133916021</v>
      </c>
      <c r="K565" s="1">
        <f>N(6613916040)</f>
        <v>6613916040</v>
      </c>
    </row>
    <row r="566" spans="1:11" ht="12.75">
      <c r="A566" s="1" t="s">
        <v>11</v>
      </c>
      <c r="B566" t="str">
        <f>T("WO730 SPECIAL INITATIVES GROUP")</f>
        <v>WO730 SPECIAL INITATIVES GROUP</v>
      </c>
      <c r="C566" t="str">
        <f>T("1620 L STREET")</f>
        <v>1620 L STREET</v>
      </c>
      <c r="D566" t="str">
        <f>T("SUITE 1075")</f>
        <v>SUITE 1075</v>
      </c>
      <c r="E566" t="s">
        <v>0</v>
      </c>
      <c r="F566" t="s">
        <v>0</v>
      </c>
      <c r="G566" t="str">
        <f>T("WASHINGTON")</f>
        <v>WASHINGTON</v>
      </c>
      <c r="H566" t="str">
        <f>T("DC ")</f>
        <v>DC </v>
      </c>
      <c r="I566" s="1">
        <f>N(20036)</f>
        <v>20036</v>
      </c>
      <c r="J566" s="1" t="str">
        <f>T("202 452 5188")</f>
        <v>202 452 5188</v>
      </c>
      <c r="K566" s="1" t="s">
        <v>0</v>
      </c>
    </row>
    <row r="567" spans="1:11" ht="12.75">
      <c r="A567" s="1" t="s">
        <v>11</v>
      </c>
      <c r="B567" t="str">
        <f>T("WO750 WO HUMAN RESOURCES SERVI")</f>
        <v>WO750 WO HUMAN RESOURCES SERVI</v>
      </c>
      <c r="C567" t="str">
        <f>T("1620 L STREET")</f>
        <v>1620 L STREET</v>
      </c>
      <c r="D567" t="str">
        <f>T("SUITE 1075")</f>
        <v>SUITE 1075</v>
      </c>
      <c r="E567" t="s">
        <v>0</v>
      </c>
      <c r="F567" t="s">
        <v>0</v>
      </c>
      <c r="G567" t="str">
        <f>T("WASHINGTON")</f>
        <v>WASHINGTON</v>
      </c>
      <c r="H567" t="str">
        <f>T("DC ")</f>
        <v>DC </v>
      </c>
      <c r="I567" s="1">
        <f>N(20036)</f>
        <v>20036</v>
      </c>
      <c r="J567" s="1" t="str">
        <f>T("202 452 5188")</f>
        <v>202 452 5188</v>
      </c>
      <c r="K567" s="1" t="s">
        <v>0</v>
      </c>
    </row>
    <row r="568" spans="1:11" ht="12.75">
      <c r="A568" s="1" t="s">
        <v>11</v>
      </c>
      <c r="B568" t="str">
        <f>T("TC100 OFFICE OF THE DIRECTOR")</f>
        <v>TC100 OFFICE OF THE DIRECTOR</v>
      </c>
      <c r="C568" t="str">
        <f>T("BUREAU OF LAND MANAGEMENT")</f>
        <v>BUREAU OF LAND MANAGEMENT</v>
      </c>
      <c r="D568" t="str">
        <f>T("9828 N 31ST AVE")</f>
        <v>9828 N 31ST AVE</v>
      </c>
      <c r="E568" t="s">
        <v>0</v>
      </c>
      <c r="F568" t="s">
        <v>0</v>
      </c>
      <c r="G568" t="str">
        <f>T("PHOENIX")</f>
        <v>PHOENIX</v>
      </c>
      <c r="H568" t="str">
        <f>T("AZ ")</f>
        <v>AZ </v>
      </c>
      <c r="I568" s="1">
        <f>N(85051)</f>
        <v>85051</v>
      </c>
      <c r="J568" s="1" t="str">
        <f>T("602-906-5607")</f>
        <v>602-906-5607</v>
      </c>
      <c r="K568" s="1" t="s">
        <v>0</v>
      </c>
    </row>
    <row r="569" spans="1:11" ht="12.75">
      <c r="A569" s="1" t="s">
        <v>11</v>
      </c>
      <c r="B569" t="str">
        <f>T("TC700 DIV OF MEDIA &amp; GRAPHICS")</f>
        <v>TC700 DIV OF MEDIA &amp; GRAPHICS</v>
      </c>
      <c r="C569" t="str">
        <f>T("BUREAU OF LAND MANAGEMENT")</f>
        <v>BUREAU OF LAND MANAGEMENT</v>
      </c>
      <c r="D569" t="str">
        <f>T("9828 N 31ST AVE")</f>
        <v>9828 N 31ST AVE</v>
      </c>
      <c r="E569" t="s">
        <v>0</v>
      </c>
      <c r="F569" t="s">
        <v>0</v>
      </c>
      <c r="G569" t="str">
        <f>T("PHOENIX")</f>
        <v>PHOENIX</v>
      </c>
      <c r="H569" t="str">
        <f>T("AZ ")</f>
        <v>AZ </v>
      </c>
      <c r="I569" s="1">
        <f>N(85051)</f>
        <v>85051</v>
      </c>
      <c r="J569" s="1" t="str">
        <f>T("602-906-5607")</f>
        <v>602-906-5607</v>
      </c>
      <c r="K569" s="1" t="s">
        <v>0</v>
      </c>
    </row>
    <row r="570" spans="1:11" ht="12.75">
      <c r="A570" s="1" t="s">
        <v>11</v>
      </c>
      <c r="B570" t="str">
        <f>T("TC800 DIV OF EMP DEVP &amp; HR")</f>
        <v>TC800 DIV OF EMP DEVP &amp; HR</v>
      </c>
      <c r="C570" t="str">
        <f>T("BUREAU OF LAND MANAGEMENT")</f>
        <v>BUREAU OF LAND MANAGEMENT</v>
      </c>
      <c r="D570" t="str">
        <f>T("9828 N 31ST AVE")</f>
        <v>9828 N 31ST AVE</v>
      </c>
      <c r="E570" t="s">
        <v>0</v>
      </c>
      <c r="F570" t="s">
        <v>0</v>
      </c>
      <c r="G570" t="str">
        <f>T("PHOENIX")</f>
        <v>PHOENIX</v>
      </c>
      <c r="H570" t="str">
        <f>T("AZ ")</f>
        <v>AZ </v>
      </c>
      <c r="I570" s="1">
        <f>N(85051)</f>
        <v>85051</v>
      </c>
      <c r="J570" s="1" t="str">
        <f>T("602-906-5607")</f>
        <v>602-906-5607</v>
      </c>
      <c r="K570" s="1" t="s">
        <v>0</v>
      </c>
    </row>
    <row r="571" spans="1:11" ht="12.75">
      <c r="A571" s="1" t="s">
        <v>11</v>
      </c>
      <c r="B571" t="str">
        <f>T("NV911 OFC OF LAW ENFORCEMENT")</f>
        <v>NV911 OFC OF LAW ENFORCEMENT</v>
      </c>
      <c r="C571" t="str">
        <f aca="true" t="shared" si="132" ref="C571:C580">T("1340 FINANCIAL BLVD")</f>
        <v>1340 FINANCIAL BLVD</v>
      </c>
      <c r="D571" t="s">
        <v>0</v>
      </c>
      <c r="E571" t="s">
        <v>0</v>
      </c>
      <c r="F571" t="s">
        <v>0</v>
      </c>
      <c r="G571" t="str">
        <f aca="true" t="shared" si="133" ref="G571:G580">T("RENO")</f>
        <v>RENO</v>
      </c>
      <c r="H571" t="str">
        <f aca="true" t="shared" si="134" ref="H571:H580">T("NV ")</f>
        <v>NV </v>
      </c>
      <c r="I571" s="1">
        <f aca="true" t="shared" si="135" ref="I571:I580">N(89502)</f>
        <v>89502</v>
      </c>
      <c r="J571" s="1">
        <f aca="true" t="shared" si="136" ref="J571:J580">N(7758616402)</f>
        <v>7758616402</v>
      </c>
      <c r="K571" s="1">
        <f aca="true" t="shared" si="137" ref="K571:K580">N(7758616634)</f>
        <v>7758616634</v>
      </c>
    </row>
    <row r="572" spans="1:11" ht="12.75">
      <c r="A572" s="1" t="s">
        <v>11</v>
      </c>
      <c r="B572" t="str">
        <f>T("NV912 OFC OF COMMUNICATIONS")</f>
        <v>NV912 OFC OF COMMUNICATIONS</v>
      </c>
      <c r="C572" t="str">
        <f t="shared" si="132"/>
        <v>1340 FINANCIAL BLVD</v>
      </c>
      <c r="D572" t="s">
        <v>0</v>
      </c>
      <c r="E572" t="s">
        <v>0</v>
      </c>
      <c r="F572" t="s">
        <v>0</v>
      </c>
      <c r="G572" t="str">
        <f t="shared" si="133"/>
        <v>RENO</v>
      </c>
      <c r="H572" t="str">
        <f t="shared" si="134"/>
        <v>NV </v>
      </c>
      <c r="I572" s="1">
        <f t="shared" si="135"/>
        <v>89502</v>
      </c>
      <c r="J572" s="1">
        <f t="shared" si="136"/>
        <v>7758616402</v>
      </c>
      <c r="K572" s="1">
        <f t="shared" si="137"/>
        <v>7758616634</v>
      </c>
    </row>
    <row r="573" spans="1:11" ht="12.75">
      <c r="A573" s="1" t="s">
        <v>11</v>
      </c>
      <c r="B573" t="str">
        <f>T("NV913 OFC OF FIRE&amp;AVIATION")</f>
        <v>NV913 OFC OF FIRE&amp;AVIATION</v>
      </c>
      <c r="C573" t="str">
        <f t="shared" si="132"/>
        <v>1340 FINANCIAL BLVD</v>
      </c>
      <c r="D573" t="s">
        <v>0</v>
      </c>
      <c r="E573" t="s">
        <v>0</v>
      </c>
      <c r="F573" t="s">
        <v>0</v>
      </c>
      <c r="G573" t="str">
        <f t="shared" si="133"/>
        <v>RENO</v>
      </c>
      <c r="H573" t="str">
        <f t="shared" si="134"/>
        <v>NV </v>
      </c>
      <c r="I573" s="1">
        <f t="shared" si="135"/>
        <v>89502</v>
      </c>
      <c r="J573" s="1">
        <f t="shared" si="136"/>
        <v>7758616402</v>
      </c>
      <c r="K573" s="1">
        <f t="shared" si="137"/>
        <v>7758616634</v>
      </c>
    </row>
    <row r="574" spans="1:11" ht="12.75">
      <c r="A574" s="1" t="s">
        <v>11</v>
      </c>
      <c r="B574" t="str">
        <f>T("NV915 WST GRT SBN COORD CENT")</f>
        <v>NV915 WST GRT SBN COORD CENT</v>
      </c>
      <c r="C574" t="str">
        <f t="shared" si="132"/>
        <v>1340 FINANCIAL BLVD</v>
      </c>
      <c r="D574" t="s">
        <v>0</v>
      </c>
      <c r="E574" t="s">
        <v>0</v>
      </c>
      <c r="F574" t="s">
        <v>0</v>
      </c>
      <c r="G574" t="str">
        <f t="shared" si="133"/>
        <v>RENO</v>
      </c>
      <c r="H574" t="str">
        <f t="shared" si="134"/>
        <v>NV </v>
      </c>
      <c r="I574" s="1">
        <f t="shared" si="135"/>
        <v>89502</v>
      </c>
      <c r="J574" s="1">
        <f t="shared" si="136"/>
        <v>7758616402</v>
      </c>
      <c r="K574" s="1">
        <f t="shared" si="137"/>
        <v>7758616634</v>
      </c>
    </row>
    <row r="575" spans="1:11" ht="12.75">
      <c r="A575" s="1" t="s">
        <v>11</v>
      </c>
      <c r="B575" t="str">
        <f>T("NV922 FLUID MINERALS TEAM")</f>
        <v>NV922 FLUID MINERALS TEAM</v>
      </c>
      <c r="C575" t="str">
        <f t="shared" si="132"/>
        <v>1340 FINANCIAL BLVD</v>
      </c>
      <c r="D575" t="s">
        <v>0</v>
      </c>
      <c r="E575" t="s">
        <v>0</v>
      </c>
      <c r="F575" t="s">
        <v>0</v>
      </c>
      <c r="G575" t="str">
        <f t="shared" si="133"/>
        <v>RENO</v>
      </c>
      <c r="H575" t="str">
        <f t="shared" si="134"/>
        <v>NV </v>
      </c>
      <c r="I575" s="1">
        <f t="shared" si="135"/>
        <v>89502</v>
      </c>
      <c r="J575" s="1">
        <f t="shared" si="136"/>
        <v>7758616402</v>
      </c>
      <c r="K575" s="1">
        <f t="shared" si="137"/>
        <v>7758616634</v>
      </c>
    </row>
    <row r="576" spans="1:11" ht="12.75">
      <c r="A576" s="1" t="s">
        <v>11</v>
      </c>
      <c r="B576" t="str">
        <f>T("NV952 BR OF GEOGRAPHIC SERV")</f>
        <v>NV952 BR OF GEOGRAPHIC SERV</v>
      </c>
      <c r="C576" t="str">
        <f t="shared" si="132"/>
        <v>1340 FINANCIAL BLVD</v>
      </c>
      <c r="D576" t="s">
        <v>0</v>
      </c>
      <c r="E576" t="s">
        <v>0</v>
      </c>
      <c r="F576" t="s">
        <v>0</v>
      </c>
      <c r="G576" t="str">
        <f t="shared" si="133"/>
        <v>RENO</v>
      </c>
      <c r="H576" t="str">
        <f t="shared" si="134"/>
        <v>NV </v>
      </c>
      <c r="I576" s="1">
        <f t="shared" si="135"/>
        <v>89502</v>
      </c>
      <c r="J576" s="1">
        <f t="shared" si="136"/>
        <v>7758616402</v>
      </c>
      <c r="K576" s="1">
        <f t="shared" si="137"/>
        <v>7758616634</v>
      </c>
    </row>
    <row r="577" spans="1:11" ht="12.75">
      <c r="A577" s="1" t="s">
        <v>11</v>
      </c>
      <c r="B577" t="str">
        <f>T("NV953 BR OF HUMAN RESOURCES")</f>
        <v>NV953 BR OF HUMAN RESOURCES</v>
      </c>
      <c r="C577" t="str">
        <f t="shared" si="132"/>
        <v>1340 FINANCIAL BLVD</v>
      </c>
      <c r="D577" t="s">
        <v>0</v>
      </c>
      <c r="E577" t="s">
        <v>0</v>
      </c>
      <c r="F577" t="s">
        <v>0</v>
      </c>
      <c r="G577" t="str">
        <f t="shared" si="133"/>
        <v>RENO</v>
      </c>
      <c r="H577" t="str">
        <f t="shared" si="134"/>
        <v>NV </v>
      </c>
      <c r="I577" s="1">
        <f t="shared" si="135"/>
        <v>89502</v>
      </c>
      <c r="J577" s="1">
        <f t="shared" si="136"/>
        <v>7758616402</v>
      </c>
      <c r="K577" s="1">
        <f t="shared" si="137"/>
        <v>7758616634</v>
      </c>
    </row>
    <row r="578" spans="1:11" ht="12.75">
      <c r="A578" s="1" t="s">
        <v>11</v>
      </c>
      <c r="B578" t="str">
        <f>T("NV954 BR OF INFORMATION RES MG")</f>
        <v>NV954 BR OF INFORMATION RES MG</v>
      </c>
      <c r="C578" t="str">
        <f t="shared" si="132"/>
        <v>1340 FINANCIAL BLVD</v>
      </c>
      <c r="D578" t="s">
        <v>0</v>
      </c>
      <c r="E578" t="s">
        <v>0</v>
      </c>
      <c r="F578" t="s">
        <v>0</v>
      </c>
      <c r="G578" t="str">
        <f t="shared" si="133"/>
        <v>RENO</v>
      </c>
      <c r="H578" t="str">
        <f t="shared" si="134"/>
        <v>NV </v>
      </c>
      <c r="I578" s="1">
        <f t="shared" si="135"/>
        <v>89502</v>
      </c>
      <c r="J578" s="1">
        <f t="shared" si="136"/>
        <v>7758616402</v>
      </c>
      <c r="K578" s="1">
        <f t="shared" si="137"/>
        <v>7758616634</v>
      </c>
    </row>
    <row r="579" spans="1:11" ht="12.75">
      <c r="A579" s="1" t="s">
        <v>11</v>
      </c>
      <c r="B579" t="str">
        <f>T("NV955 BR OF BUD &amp; FINANCE SERV")</f>
        <v>NV955 BR OF BUD &amp; FINANCE SERV</v>
      </c>
      <c r="C579" t="str">
        <f t="shared" si="132"/>
        <v>1340 FINANCIAL BLVD</v>
      </c>
      <c r="D579" t="s">
        <v>0</v>
      </c>
      <c r="E579" t="s">
        <v>0</v>
      </c>
      <c r="F579" t="s">
        <v>0</v>
      </c>
      <c r="G579" t="str">
        <f t="shared" si="133"/>
        <v>RENO</v>
      </c>
      <c r="H579" t="str">
        <f t="shared" si="134"/>
        <v>NV </v>
      </c>
      <c r="I579" s="1">
        <f t="shared" si="135"/>
        <v>89502</v>
      </c>
      <c r="J579" s="1">
        <f t="shared" si="136"/>
        <v>7758616402</v>
      </c>
      <c r="K579" s="1">
        <f t="shared" si="137"/>
        <v>7758616634</v>
      </c>
    </row>
    <row r="580" spans="1:11" ht="12.75">
      <c r="A580" s="1" t="s">
        <v>11</v>
      </c>
      <c r="B580" t="str">
        <f>T("NV956 BR OF INFO ACC&amp;CUST SER")</f>
        <v>NV956 BR OF INFO ACC&amp;CUST SER</v>
      </c>
      <c r="C580" t="str">
        <f t="shared" si="132"/>
        <v>1340 FINANCIAL BLVD</v>
      </c>
      <c r="D580" t="s">
        <v>0</v>
      </c>
      <c r="E580" t="s">
        <v>0</v>
      </c>
      <c r="F580" t="s">
        <v>0</v>
      </c>
      <c r="G580" t="str">
        <f t="shared" si="133"/>
        <v>RENO</v>
      </c>
      <c r="H580" t="str">
        <f t="shared" si="134"/>
        <v>NV </v>
      </c>
      <c r="I580" s="1">
        <f t="shared" si="135"/>
        <v>89502</v>
      </c>
      <c r="J580" s="1">
        <f t="shared" si="136"/>
        <v>7758616402</v>
      </c>
      <c r="K580" s="1">
        <f t="shared" si="137"/>
        <v>7758616634</v>
      </c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2007-04-30T14:14:08Z</dcterms:created>
  <dcterms:modified xsi:type="dcterms:W3CDTF">2007-05-01T17:49:13Z</dcterms:modified>
  <cp:category/>
  <cp:version/>
  <cp:contentType/>
  <cp:contentStatus/>
</cp:coreProperties>
</file>