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4910" windowHeight="8700" tabRatio="726" activeTab="0"/>
  </bookViews>
  <sheets>
    <sheet name="cal-est.mean HEI2005, 0102" sheetId="1" r:id="rId1"/>
  </sheets>
  <definedNames>
    <definedName name="_xlnm.Print_Area" localSheetId="0">'cal-est.mean HEI2005, 0102'!$A$1:$T$28</definedName>
  </definedNames>
  <calcPr fullCalcOnLoad="1"/>
</workbook>
</file>

<file path=xl/sharedStrings.xml><?xml version="1.0" encoding="utf-8"?>
<sst xmlns="http://schemas.openxmlformats.org/spreadsheetml/2006/main" count="121" uniqueCount="36">
  <si>
    <t>Dark Green and Orange Vegetables and Legumes (5)</t>
  </si>
  <si>
    <t>Total Fruit (5)</t>
  </si>
  <si>
    <t>Whole Fruit (5)</t>
  </si>
  <si>
    <t>Total Vegetables (5)</t>
  </si>
  <si>
    <t>Total Grains (5)</t>
  </si>
  <si>
    <t>Whole Grains (5)</t>
  </si>
  <si>
    <t>95% UL</t>
  </si>
  <si>
    <t>95% LL</t>
  </si>
  <si>
    <t>Total Fruit (cup/1000 kcal)</t>
  </si>
  <si>
    <t>Whole Fruit (cup/1000 kcal)</t>
  </si>
  <si>
    <t>Total Vegetables (cup/1000 kcal)</t>
  </si>
  <si>
    <t>Dark Green and Orange Vegetables and Legumes (cup/1000 kcal)</t>
  </si>
  <si>
    <t>Total Grains (oz/1000 kcal)</t>
  </si>
  <si>
    <t>Whole Grains (oz/1000 kcal)</t>
  </si>
  <si>
    <t>Milk (cup/1000 kcal)</t>
  </si>
  <si>
    <t>Meat and Beans (oz/1000 kcal)</t>
  </si>
  <si>
    <t>Oils (gm/1000 kcal)</t>
  </si>
  <si>
    <t>Saturated Fat (% of kcal)</t>
  </si>
  <si>
    <t>Sodium (gm/1000 kcal)</t>
  </si>
  <si>
    <t>Calories from Solid Fat, Alcohol, and Added Sugar (% of kcal)</t>
  </si>
  <si>
    <t>Milk (10)</t>
  </si>
  <si>
    <t>Meat and Beans (10)</t>
  </si>
  <si>
    <t>Oils (10)</t>
  </si>
  <si>
    <t>Saturated Fat (10)</t>
  </si>
  <si>
    <t>Sodium (10)</t>
  </si>
  <si>
    <t>Calories from Solid Fat, Alcohol, and Added Sugar (20)</t>
  </si>
  <si>
    <t>(</t>
  </si>
  <si>
    <t>,</t>
  </si>
  <si>
    <t>)</t>
  </si>
  <si>
    <t>Total HEI-2005 score</t>
  </si>
  <si>
    <t>Truncated HEI score</t>
  </si>
  <si>
    <t>Standard error of HEI-2005 total score for the population</t>
  </si>
  <si>
    <t>Calculation of the HEI-2005 component and total scores at the population level (using SUDAAN output file: ratio0102)</t>
  </si>
  <si>
    <t>Mean Density (RHAT)</t>
  </si>
  <si>
    <t>Standard Error (SERHAT)</t>
  </si>
  <si>
    <t>Non-truncated HEI component score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</si>
</sst>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0" fillId="2" borderId="1" xfId="0" applyNumberFormat="1" applyFill="1" applyBorder="1" applyAlignment="1">
      <alignment/>
    </xf>
    <xf numFmtId="2" fontId="0" fillId="2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1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2" fillId="3" borderId="1" xfId="0" applyNumberFormat="1" applyFont="1" applyFill="1" applyBorder="1" applyAlignment="1">
      <alignment horizontal="left" indent="1"/>
    </xf>
    <xf numFmtId="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75" zoomScaleNormal="75" zoomScaleSheetLayoutView="100" workbookViewId="0" topLeftCell="D1">
      <selection activeCell="H3" sqref="H3"/>
    </sheetView>
  </sheetViews>
  <sheetFormatPr defaultColWidth="9.140625" defaultRowHeight="12.75"/>
  <cols>
    <col min="1" max="1" width="27.00390625" style="0" customWidth="1"/>
    <col min="2" max="2" width="23.8515625" style="0" customWidth="1"/>
    <col min="3" max="3" width="27.140625" style="0" bestFit="1" customWidth="1"/>
    <col min="4" max="4" width="10.8515625" style="0" customWidth="1"/>
    <col min="5" max="5" width="11.140625" style="0" customWidth="1"/>
    <col min="6" max="6" width="3.8515625" style="0" customWidth="1"/>
    <col min="7" max="7" width="28.7109375" style="0" customWidth="1"/>
    <col min="8" max="8" width="31.7109375" style="0" bestFit="1" customWidth="1"/>
    <col min="9" max="9" width="2.28125" style="0" customWidth="1"/>
    <col min="10" max="10" width="8.421875" style="0" customWidth="1"/>
    <col min="11" max="11" width="1.8515625" style="0" customWidth="1"/>
    <col min="12" max="12" width="8.140625" style="0" bestFit="1" customWidth="1"/>
    <col min="13" max="13" width="1.8515625" style="0" customWidth="1"/>
    <col min="14" max="14" width="22.00390625" style="22" bestFit="1" customWidth="1"/>
    <col min="15" max="15" width="1.57421875" style="36" bestFit="1" customWidth="1"/>
    <col min="16" max="16" width="9.28125" style="36" bestFit="1" customWidth="1"/>
    <col min="17" max="17" width="1.57421875" style="36" bestFit="1" customWidth="1"/>
    <col min="18" max="18" width="12.00390625" style="36" bestFit="1" customWidth="1"/>
    <col min="19" max="19" width="1.57421875" style="36" bestFit="1" customWidth="1"/>
  </cols>
  <sheetData>
    <row r="1" ht="12.75">
      <c r="A1" t="s">
        <v>32</v>
      </c>
    </row>
    <row r="2" spans="1:19" ht="12.75">
      <c r="A2" s="4"/>
      <c r="B2" s="43" t="s">
        <v>33</v>
      </c>
      <c r="C2" s="1" t="s">
        <v>34</v>
      </c>
      <c r="D2" s="1" t="s">
        <v>7</v>
      </c>
      <c r="E2" s="1" t="s">
        <v>6</v>
      </c>
      <c r="G2" s="4"/>
      <c r="H2" s="6" t="s">
        <v>35</v>
      </c>
      <c r="I2" s="6" t="s">
        <v>26</v>
      </c>
      <c r="J2" s="6" t="s">
        <v>7</v>
      </c>
      <c r="K2" s="6" t="s">
        <v>27</v>
      </c>
      <c r="L2" s="6" t="s">
        <v>6</v>
      </c>
      <c r="M2" s="6" t="s">
        <v>28</v>
      </c>
      <c r="N2" s="16" t="s">
        <v>30</v>
      </c>
      <c r="O2" s="9" t="s">
        <v>26</v>
      </c>
      <c r="P2" s="9" t="s">
        <v>7</v>
      </c>
      <c r="Q2" s="9" t="s">
        <v>27</v>
      </c>
      <c r="R2" s="9" t="s">
        <v>6</v>
      </c>
      <c r="S2" s="9" t="s">
        <v>28</v>
      </c>
    </row>
    <row r="3" spans="1:19" ht="12.75">
      <c r="A3" s="2" t="s">
        <v>8</v>
      </c>
      <c r="B3" s="34">
        <v>0.4976</v>
      </c>
      <c r="C3" s="34">
        <v>0.01873</v>
      </c>
      <c r="D3" s="26">
        <f aca="true" t="shared" si="0" ref="D3:D14">B3-2*C3</f>
        <v>0.46014</v>
      </c>
      <c r="E3" s="26">
        <f>B3+2*C3</f>
        <v>0.53506</v>
      </c>
      <c r="G3" s="2" t="s">
        <v>1</v>
      </c>
      <c r="H3" s="18">
        <f>5*(B3/0.8)</f>
        <v>3.11</v>
      </c>
      <c r="I3" s="19" t="s">
        <v>26</v>
      </c>
      <c r="J3" s="18">
        <f>5*(D3/0.8)</f>
        <v>2.8758749999999997</v>
      </c>
      <c r="K3" s="20" t="s">
        <v>27</v>
      </c>
      <c r="L3" s="18">
        <f>5*(E3/0.8)</f>
        <v>3.3441249999999996</v>
      </c>
      <c r="M3" s="21" t="s">
        <v>28</v>
      </c>
      <c r="N3" s="17">
        <f aca="true" t="shared" si="1" ref="N3:N8">IF(H3&lt;=5,H3,5)</f>
        <v>3.11</v>
      </c>
      <c r="O3" s="9" t="s">
        <v>26</v>
      </c>
      <c r="P3" s="17">
        <f aca="true" t="shared" si="2" ref="P3:P8">IF(J3&lt;=5,J3,5)</f>
        <v>2.8758749999999997</v>
      </c>
      <c r="Q3" s="17" t="s">
        <v>27</v>
      </c>
      <c r="R3" s="17">
        <f aca="true" t="shared" si="3" ref="R3:R8">IF(L3&lt;=5,L3,5)</f>
        <v>3.3441249999999996</v>
      </c>
      <c r="S3" s="9" t="s">
        <v>28</v>
      </c>
    </row>
    <row r="4" spans="1:19" ht="12.75">
      <c r="A4" s="2" t="s">
        <v>9</v>
      </c>
      <c r="B4" s="34">
        <v>0.2733</v>
      </c>
      <c r="C4" s="34">
        <v>0.01036</v>
      </c>
      <c r="D4" s="26">
        <f t="shared" si="0"/>
        <v>0.25257999999999997</v>
      </c>
      <c r="E4" s="26">
        <f aca="true" t="shared" si="4" ref="E4:E11">B4+2*C4</f>
        <v>0.29402</v>
      </c>
      <c r="G4" s="2" t="s">
        <v>2</v>
      </c>
      <c r="H4" s="18">
        <f>5*(B4/0.4)</f>
        <v>3.41625</v>
      </c>
      <c r="I4" s="19" t="s">
        <v>26</v>
      </c>
      <c r="J4" s="18">
        <f>5*(D4/0.4)</f>
        <v>3.1572499999999994</v>
      </c>
      <c r="K4" s="20" t="s">
        <v>27</v>
      </c>
      <c r="L4" s="18">
        <f>5*(E4/0.4)</f>
        <v>3.67525</v>
      </c>
      <c r="M4" s="21" t="s">
        <v>28</v>
      </c>
      <c r="N4" s="17">
        <f t="shared" si="1"/>
        <v>3.41625</v>
      </c>
      <c r="O4" s="9" t="s">
        <v>26</v>
      </c>
      <c r="P4" s="17">
        <f t="shared" si="2"/>
        <v>3.1572499999999994</v>
      </c>
      <c r="Q4" s="17" t="s">
        <v>27</v>
      </c>
      <c r="R4" s="17">
        <f t="shared" si="3"/>
        <v>3.67525</v>
      </c>
      <c r="S4" s="9" t="s">
        <v>28</v>
      </c>
    </row>
    <row r="5" spans="1:19" ht="25.5">
      <c r="A5" s="2" t="s">
        <v>10</v>
      </c>
      <c r="B5" s="34">
        <v>0.7147</v>
      </c>
      <c r="C5" s="34">
        <v>0.01446</v>
      </c>
      <c r="D5" s="26">
        <f t="shared" si="0"/>
        <v>0.6857800000000001</v>
      </c>
      <c r="E5" s="26">
        <f t="shared" si="4"/>
        <v>0.74362</v>
      </c>
      <c r="G5" s="2" t="s">
        <v>3</v>
      </c>
      <c r="H5" s="18">
        <f>5*(B5/1.1)</f>
        <v>3.2486363636363635</v>
      </c>
      <c r="I5" s="19" t="s">
        <v>26</v>
      </c>
      <c r="J5" s="18">
        <f>5*(D5/1.1)</f>
        <v>3.1171818181818183</v>
      </c>
      <c r="K5" s="20" t="s">
        <v>27</v>
      </c>
      <c r="L5" s="18">
        <f>5*(E5/1.1)</f>
        <v>3.380090909090909</v>
      </c>
      <c r="M5" s="21" t="s">
        <v>28</v>
      </c>
      <c r="N5" s="17">
        <f t="shared" si="1"/>
        <v>3.2486363636363635</v>
      </c>
      <c r="O5" s="9" t="s">
        <v>26</v>
      </c>
      <c r="P5" s="17">
        <f t="shared" si="2"/>
        <v>3.1171818181818183</v>
      </c>
      <c r="Q5" s="17" t="s">
        <v>27</v>
      </c>
      <c r="R5" s="17">
        <f t="shared" si="3"/>
        <v>3.380090909090909</v>
      </c>
      <c r="S5" s="9" t="s">
        <v>28</v>
      </c>
    </row>
    <row r="6" spans="1:19" ht="38.25">
      <c r="A6" s="2" t="s">
        <v>11</v>
      </c>
      <c r="B6" s="34">
        <v>0.1093</v>
      </c>
      <c r="C6" s="34">
        <v>0.00545</v>
      </c>
      <c r="D6" s="26">
        <f t="shared" si="0"/>
        <v>0.09839999999999999</v>
      </c>
      <c r="E6" s="26">
        <f t="shared" si="4"/>
        <v>0.1202</v>
      </c>
      <c r="G6" s="2" t="s">
        <v>0</v>
      </c>
      <c r="H6" s="18">
        <f>5*(B6/0.4)</f>
        <v>1.36625</v>
      </c>
      <c r="I6" s="19" t="s">
        <v>26</v>
      </c>
      <c r="J6" s="18">
        <f>5*(D6/0.4)</f>
        <v>1.2299999999999998</v>
      </c>
      <c r="K6" s="20" t="s">
        <v>27</v>
      </c>
      <c r="L6" s="18">
        <f>5*(E6/0.4)</f>
        <v>1.5025</v>
      </c>
      <c r="M6" s="21" t="s">
        <v>28</v>
      </c>
      <c r="N6" s="17">
        <f t="shared" si="1"/>
        <v>1.36625</v>
      </c>
      <c r="O6" s="9" t="s">
        <v>26</v>
      </c>
      <c r="P6" s="17">
        <f t="shared" si="2"/>
        <v>1.2299999999999998</v>
      </c>
      <c r="Q6" s="17" t="s">
        <v>27</v>
      </c>
      <c r="R6" s="17">
        <f t="shared" si="3"/>
        <v>1.5025</v>
      </c>
      <c r="S6" s="9" t="s">
        <v>28</v>
      </c>
    </row>
    <row r="7" spans="1:19" ht="12.75">
      <c r="A7" s="2" t="s">
        <v>12</v>
      </c>
      <c r="B7" s="34">
        <v>3.1892</v>
      </c>
      <c r="C7" s="34">
        <v>0.0345</v>
      </c>
      <c r="D7" s="26">
        <f t="shared" si="0"/>
        <v>3.1202</v>
      </c>
      <c r="E7" s="26">
        <f t="shared" si="4"/>
        <v>3.2582</v>
      </c>
      <c r="G7" s="2" t="s">
        <v>4</v>
      </c>
      <c r="H7" s="18">
        <f>5*(B7/3)</f>
        <v>5.315333333333333</v>
      </c>
      <c r="I7" s="19" t="s">
        <v>26</v>
      </c>
      <c r="J7" s="18">
        <f>5*(D7/3)</f>
        <v>5.200333333333333</v>
      </c>
      <c r="K7" s="20" t="s">
        <v>27</v>
      </c>
      <c r="L7" s="18">
        <f>5*(E7/3)</f>
        <v>5.4303333333333335</v>
      </c>
      <c r="M7" s="21" t="s">
        <v>28</v>
      </c>
      <c r="N7" s="17">
        <f t="shared" si="1"/>
        <v>5</v>
      </c>
      <c r="O7" s="9" t="s">
        <v>26</v>
      </c>
      <c r="P7" s="17">
        <f t="shared" si="2"/>
        <v>5</v>
      </c>
      <c r="Q7" s="17" t="s">
        <v>27</v>
      </c>
      <c r="R7" s="17">
        <f t="shared" si="3"/>
        <v>5</v>
      </c>
      <c r="S7" s="9" t="s">
        <v>28</v>
      </c>
    </row>
    <row r="8" spans="1:19" ht="12.75">
      <c r="A8" s="2" t="s">
        <v>13</v>
      </c>
      <c r="B8" s="34">
        <v>0.3136</v>
      </c>
      <c r="C8" s="34">
        <v>0.01009</v>
      </c>
      <c r="D8" s="26">
        <f t="shared" si="0"/>
        <v>0.29342</v>
      </c>
      <c r="E8" s="26">
        <f t="shared" si="4"/>
        <v>0.33377999999999997</v>
      </c>
      <c r="G8" s="2" t="s">
        <v>5</v>
      </c>
      <c r="H8" s="18">
        <f>5*(B8/1.5)</f>
        <v>1.0453333333333332</v>
      </c>
      <c r="I8" s="19" t="s">
        <v>26</v>
      </c>
      <c r="J8" s="18">
        <f>5*(D8/1.5)</f>
        <v>0.9780666666666666</v>
      </c>
      <c r="K8" s="20" t="s">
        <v>27</v>
      </c>
      <c r="L8" s="18">
        <f>5*(E8/1.5)</f>
        <v>1.1125999999999998</v>
      </c>
      <c r="M8" s="21" t="s">
        <v>28</v>
      </c>
      <c r="N8" s="17">
        <f t="shared" si="1"/>
        <v>1.0453333333333332</v>
      </c>
      <c r="O8" s="9" t="s">
        <v>26</v>
      </c>
      <c r="P8" s="17">
        <f t="shared" si="2"/>
        <v>0.9780666666666666</v>
      </c>
      <c r="Q8" s="17" t="s">
        <v>27</v>
      </c>
      <c r="R8" s="17">
        <f t="shared" si="3"/>
        <v>1.1125999999999998</v>
      </c>
      <c r="S8" s="9" t="s">
        <v>28</v>
      </c>
    </row>
    <row r="9" spans="1:19" ht="12.75">
      <c r="A9" s="2" t="s">
        <v>14</v>
      </c>
      <c r="B9" s="34">
        <v>0.8145</v>
      </c>
      <c r="C9" s="34">
        <v>0.01542</v>
      </c>
      <c r="D9" s="26">
        <f t="shared" si="0"/>
        <v>0.78366</v>
      </c>
      <c r="E9" s="26">
        <f t="shared" si="4"/>
        <v>0.84534</v>
      </c>
      <c r="G9" s="2" t="s">
        <v>20</v>
      </c>
      <c r="H9" s="18">
        <f>10*(B9/1.3)</f>
        <v>6.265384615384615</v>
      </c>
      <c r="I9" s="19" t="s">
        <v>26</v>
      </c>
      <c r="J9" s="18">
        <f>10*(D9/1.3)</f>
        <v>6.028153846153846</v>
      </c>
      <c r="K9" s="20" t="s">
        <v>27</v>
      </c>
      <c r="L9" s="18">
        <f>10*(E9/1.3)</f>
        <v>6.5026153846153845</v>
      </c>
      <c r="M9" s="21" t="s">
        <v>28</v>
      </c>
      <c r="N9" s="17">
        <f>IF(H9&lt;=10,H9,10)</f>
        <v>6.265384615384615</v>
      </c>
      <c r="O9" s="9" t="s">
        <v>26</v>
      </c>
      <c r="P9" s="17">
        <f>IF(J9&lt;=10,J9,10)</f>
        <v>6.028153846153846</v>
      </c>
      <c r="Q9" s="17" t="s">
        <v>27</v>
      </c>
      <c r="R9" s="17">
        <f>IF(L9&lt;=10,L9,10)</f>
        <v>6.5026153846153845</v>
      </c>
      <c r="S9" s="9" t="s">
        <v>28</v>
      </c>
    </row>
    <row r="10" spans="1:19" ht="25.5">
      <c r="A10" s="2" t="s">
        <v>15</v>
      </c>
      <c r="B10" s="34">
        <v>2.5405</v>
      </c>
      <c r="C10" s="34">
        <v>0.02162</v>
      </c>
      <c r="D10" s="26">
        <f t="shared" si="0"/>
        <v>2.4972600000000003</v>
      </c>
      <c r="E10" s="26">
        <f t="shared" si="4"/>
        <v>2.58374</v>
      </c>
      <c r="G10" s="2" t="s">
        <v>21</v>
      </c>
      <c r="H10" s="18">
        <f>10*(B10/2.5)</f>
        <v>10.161999999999999</v>
      </c>
      <c r="I10" s="19" t="s">
        <v>26</v>
      </c>
      <c r="J10" s="18">
        <f>10*(D10/2.5)</f>
        <v>9.989040000000001</v>
      </c>
      <c r="K10" s="20" t="s">
        <v>27</v>
      </c>
      <c r="L10" s="18">
        <f>10*(E10/2.5)</f>
        <v>10.334959999999999</v>
      </c>
      <c r="M10" s="21" t="s">
        <v>28</v>
      </c>
      <c r="N10" s="17">
        <f>IF(H10&lt;=10,H10,10)</f>
        <v>10</v>
      </c>
      <c r="O10" s="9" t="s">
        <v>26</v>
      </c>
      <c r="P10" s="17">
        <f>IF(J10&lt;=10,J10,10)</f>
        <v>9.989040000000001</v>
      </c>
      <c r="Q10" s="17" t="s">
        <v>27</v>
      </c>
      <c r="R10" s="17">
        <f>IF(L10&lt;=10,L10,10)</f>
        <v>10</v>
      </c>
      <c r="S10" s="9" t="s">
        <v>28</v>
      </c>
    </row>
    <row r="11" spans="1:19" ht="12.75">
      <c r="A11" s="2" t="s">
        <v>16</v>
      </c>
      <c r="B11" s="34">
        <v>8.1668</v>
      </c>
      <c r="C11" s="34">
        <v>0.15917</v>
      </c>
      <c r="D11" s="26">
        <f t="shared" si="0"/>
        <v>7.84846</v>
      </c>
      <c r="E11" s="26">
        <f t="shared" si="4"/>
        <v>8.48514</v>
      </c>
      <c r="G11" s="2" t="s">
        <v>22</v>
      </c>
      <c r="H11" s="18">
        <f>10*(B11/12)</f>
        <v>6.805666666666666</v>
      </c>
      <c r="I11" s="19" t="s">
        <v>26</v>
      </c>
      <c r="J11" s="18">
        <f>10*(D11/12)</f>
        <v>6.540383333333334</v>
      </c>
      <c r="K11" s="20" t="s">
        <v>27</v>
      </c>
      <c r="L11" s="18">
        <f>10*(E11/12)</f>
        <v>7.070949999999999</v>
      </c>
      <c r="M11" s="21" t="s">
        <v>28</v>
      </c>
      <c r="N11" s="17">
        <f>IF(H11&lt;=10,H11,10)</f>
        <v>6.805666666666666</v>
      </c>
      <c r="O11" s="9" t="s">
        <v>26</v>
      </c>
      <c r="P11" s="17">
        <f>IF(J11&lt;=10,J11,10)</f>
        <v>6.540383333333334</v>
      </c>
      <c r="Q11" s="17" t="s">
        <v>27</v>
      </c>
      <c r="R11" s="17">
        <f>IF(L11&lt;=10,L11,10)</f>
        <v>7.070949999999999</v>
      </c>
      <c r="S11" s="9" t="s">
        <v>28</v>
      </c>
    </row>
    <row r="12" spans="1:19" ht="12.75">
      <c r="A12" s="2" t="s">
        <v>17</v>
      </c>
      <c r="B12" s="34">
        <v>10.9881</v>
      </c>
      <c r="C12" s="35">
        <v>0.09088</v>
      </c>
      <c r="D12" s="26">
        <f t="shared" si="0"/>
        <v>10.806339999999999</v>
      </c>
      <c r="E12" s="26">
        <f>B12+2*C12</f>
        <v>11.16986</v>
      </c>
      <c r="G12" s="2" t="s">
        <v>23</v>
      </c>
      <c r="H12" s="18">
        <f>IF(B12&lt;10,10-(2*(B12)-7)/3,8-(8*((B12)-10)/5))</f>
        <v>6.419040000000001</v>
      </c>
      <c r="I12" s="19" t="s">
        <v>26</v>
      </c>
      <c r="J12" s="18">
        <f>8-(8*((D12)-10)/5)</f>
        <v>6.709856000000002</v>
      </c>
      <c r="K12" s="20" t="s">
        <v>27</v>
      </c>
      <c r="L12" s="18">
        <f>8-(8*((E12)-10)/5)</f>
        <v>6.128224</v>
      </c>
      <c r="M12" s="21" t="s">
        <v>28</v>
      </c>
      <c r="N12" s="17">
        <f>IF(H12&lt;=10,H12,10)</f>
        <v>6.419040000000001</v>
      </c>
      <c r="O12" s="9" t="s">
        <v>26</v>
      </c>
      <c r="P12" s="17">
        <f>IF(L12&lt;=10,L12,10)</f>
        <v>6.128224</v>
      </c>
      <c r="Q12" s="17" t="s">
        <v>27</v>
      </c>
      <c r="R12" s="17">
        <f>IF(J12&lt;=10,J12,10)</f>
        <v>6.709856000000002</v>
      </c>
      <c r="S12" s="9" t="s">
        <v>28</v>
      </c>
    </row>
    <row r="13" spans="1:19" ht="12.75">
      <c r="A13" s="2" t="s">
        <v>18</v>
      </c>
      <c r="B13" s="34">
        <v>1.541</v>
      </c>
      <c r="C13" s="34">
        <v>0.00867</v>
      </c>
      <c r="D13" s="26">
        <f t="shared" si="0"/>
        <v>1.52366</v>
      </c>
      <c r="E13" s="26">
        <f>B13+2*C13</f>
        <v>1.5583399999999998</v>
      </c>
      <c r="G13" s="2" t="s">
        <v>24</v>
      </c>
      <c r="H13" s="21">
        <f>IF(B13&lt;1.1,10-(2*(B13)-0.7)/(1.1-0.7),8-(8*(B13-1.1)/(2-1.1)))</f>
        <v>4.080000000000001</v>
      </c>
      <c r="I13" s="19" t="s">
        <v>26</v>
      </c>
      <c r="J13" s="21">
        <f>8-(8*(D13-1.1)/(2-1.1))</f>
        <v>4.234133333333334</v>
      </c>
      <c r="K13" s="20" t="s">
        <v>27</v>
      </c>
      <c r="L13" s="21">
        <f>8-(8*(E13-1.1)/(2-1.1))</f>
        <v>3.9258666666666686</v>
      </c>
      <c r="M13" s="21" t="s">
        <v>28</v>
      </c>
      <c r="N13" s="17">
        <f>IF(H13&lt;=10,H13,10)</f>
        <v>4.080000000000001</v>
      </c>
      <c r="O13" s="9" t="s">
        <v>26</v>
      </c>
      <c r="P13" s="17">
        <f>IF(L13&lt;=10,L13,10)</f>
        <v>3.9258666666666686</v>
      </c>
      <c r="Q13" s="17" t="s">
        <v>27</v>
      </c>
      <c r="R13" s="17">
        <f>IF(J13&lt;=10,J13,10)</f>
        <v>4.234133333333334</v>
      </c>
      <c r="S13" s="9" t="s">
        <v>28</v>
      </c>
    </row>
    <row r="14" spans="1:19" ht="38.25">
      <c r="A14" s="2" t="s">
        <v>19</v>
      </c>
      <c r="B14" s="34">
        <v>38.7953</v>
      </c>
      <c r="C14" s="34">
        <v>0.45297</v>
      </c>
      <c r="D14" s="26">
        <f t="shared" si="0"/>
        <v>37.889359999999996</v>
      </c>
      <c r="E14" s="26">
        <f>B14+2*C14</f>
        <v>39.70124</v>
      </c>
      <c r="G14" s="2" t="s">
        <v>25</v>
      </c>
      <c r="H14" s="21">
        <f>20-(20*(B14-20)/(50-20))</f>
        <v>7.469800000000001</v>
      </c>
      <c r="I14" s="19" t="s">
        <v>26</v>
      </c>
      <c r="J14" s="21">
        <f>20-(20*(D14-20)/(50-20))</f>
        <v>8.073760000000002</v>
      </c>
      <c r="K14" s="20" t="s">
        <v>27</v>
      </c>
      <c r="L14" s="21">
        <f>20-(20*(E14-20)/(50-20))</f>
        <v>6.86584</v>
      </c>
      <c r="M14" s="21" t="s">
        <v>28</v>
      </c>
      <c r="N14" s="17">
        <f>IF(H14&lt;=20,H14,20)</f>
        <v>7.469800000000001</v>
      </c>
      <c r="O14" s="9" t="s">
        <v>26</v>
      </c>
      <c r="P14" s="17">
        <f>IF(L14&lt;=20,L14,20)</f>
        <v>6.86584</v>
      </c>
      <c r="Q14" s="17" t="s">
        <v>27</v>
      </c>
      <c r="R14" s="17">
        <f>IF(J14&lt;=20,J14,20)</f>
        <v>8.073760000000002</v>
      </c>
      <c r="S14" s="9" t="s">
        <v>28</v>
      </c>
    </row>
    <row r="15" spans="7:19" ht="12.75">
      <c r="G15" s="10" t="s">
        <v>29</v>
      </c>
      <c r="H15" s="22">
        <f>SUM(H3:H14)</f>
        <v>58.703694312354315</v>
      </c>
      <c r="I15" s="23" t="s">
        <v>26</v>
      </c>
      <c r="J15" s="7">
        <f>H15-2.131*C15</f>
        <v>58.703694312354315</v>
      </c>
      <c r="K15" s="24" t="s">
        <v>27</v>
      </c>
      <c r="L15" s="7">
        <f>H15+2.131*C15</f>
        <v>58.703694312354315</v>
      </c>
      <c r="M15" s="25" t="s">
        <v>28</v>
      </c>
      <c r="N15" s="37">
        <f>SUM(N3:N14)</f>
        <v>58.22636097902098</v>
      </c>
      <c r="O15" s="9" t="s">
        <v>26</v>
      </c>
      <c r="P15" s="37">
        <f>N15-2.131*C17</f>
        <v>56.58378617902098</v>
      </c>
      <c r="Q15" s="17" t="s">
        <v>27</v>
      </c>
      <c r="R15" s="37">
        <f>N15+2.131*C17</f>
        <v>59.86893577902098</v>
      </c>
      <c r="S15" s="9" t="s">
        <v>28</v>
      </c>
    </row>
    <row r="16" ht="12.75">
      <c r="A16" s="5"/>
    </row>
    <row r="17" spans="1:19" ht="38.25">
      <c r="A17" s="5" t="s">
        <v>31</v>
      </c>
      <c r="C17" s="42">
        <v>0.7708</v>
      </c>
      <c r="N17" s="37"/>
      <c r="O17" s="9"/>
      <c r="Q17" s="9"/>
      <c r="S17" s="9"/>
    </row>
    <row r="18" spans="14:19" s="3" customFormat="1" ht="12.75">
      <c r="N18" s="40"/>
      <c r="O18" s="41"/>
      <c r="P18" s="41"/>
      <c r="Q18" s="41"/>
      <c r="R18" s="41"/>
      <c r="S18" s="41"/>
    </row>
    <row r="19" spans="1:19" s="27" customFormat="1" ht="12.75">
      <c r="A19" s="32"/>
      <c r="B19" s="32"/>
      <c r="C19" s="32"/>
      <c r="D19" s="32"/>
      <c r="E19" s="33"/>
      <c r="G19" s="32"/>
      <c r="N19" s="38"/>
      <c r="O19" s="39"/>
      <c r="P19" s="39"/>
      <c r="Q19" s="39"/>
      <c r="R19" s="39"/>
      <c r="S19" s="39"/>
    </row>
    <row r="20" spans="1:19" s="3" customFormat="1" ht="12.75">
      <c r="A20" s="13"/>
      <c r="B20" s="28"/>
      <c r="C20" s="29"/>
      <c r="D20" s="30"/>
      <c r="E20" s="28"/>
      <c r="N20" s="40"/>
      <c r="O20" s="41"/>
      <c r="P20" s="41"/>
      <c r="Q20" s="41"/>
      <c r="R20" s="41"/>
      <c r="S20" s="41"/>
    </row>
    <row r="21" spans="1:19" s="3" customFormat="1" ht="12.75">
      <c r="A21" s="13"/>
      <c r="B21" s="30"/>
      <c r="C21" s="29"/>
      <c r="D21" s="30"/>
      <c r="E21" s="30"/>
      <c r="H21" s="12"/>
      <c r="I21" s="12"/>
      <c r="J21" s="12"/>
      <c r="K21" s="12"/>
      <c r="L21" s="12"/>
      <c r="M21" s="12"/>
      <c r="N21" s="8"/>
      <c r="O21" s="9"/>
      <c r="P21" s="9"/>
      <c r="Q21" s="9"/>
      <c r="R21" s="9"/>
      <c r="S21" s="9"/>
    </row>
    <row r="22" spans="1:19" s="3" customFormat="1" ht="12.75">
      <c r="A22" s="13"/>
      <c r="B22" s="28"/>
      <c r="C22" s="29"/>
      <c r="D22" s="30"/>
      <c r="E22" s="28"/>
      <c r="G22" s="13"/>
      <c r="H22" s="14"/>
      <c r="I22" s="11"/>
      <c r="J22" s="14"/>
      <c r="K22" s="11"/>
      <c r="L22" s="14"/>
      <c r="M22" s="12"/>
      <c r="N22" s="17"/>
      <c r="O22" s="9"/>
      <c r="P22" s="8"/>
      <c r="Q22" s="9"/>
      <c r="R22" s="8"/>
      <c r="S22" s="9"/>
    </row>
    <row r="23" spans="1:19" s="3" customFormat="1" ht="12.75">
      <c r="A23" s="13"/>
      <c r="B23" s="28"/>
      <c r="C23" s="29"/>
      <c r="D23" s="30"/>
      <c r="E23" s="28"/>
      <c r="G23" s="13"/>
      <c r="H23" s="14"/>
      <c r="I23" s="11"/>
      <c r="J23" s="14"/>
      <c r="K23" s="11"/>
      <c r="L23" s="14"/>
      <c r="M23" s="12"/>
      <c r="N23" s="17"/>
      <c r="O23" s="9"/>
      <c r="P23" s="8"/>
      <c r="Q23" s="9"/>
      <c r="R23" s="8"/>
      <c r="S23" s="9"/>
    </row>
    <row r="24" spans="1:19" s="3" customFormat="1" ht="12.75">
      <c r="A24" s="13"/>
      <c r="B24" s="28"/>
      <c r="C24" s="29"/>
      <c r="D24" s="30"/>
      <c r="E24" s="28"/>
      <c r="G24" s="13"/>
      <c r="H24" s="14"/>
      <c r="I24" s="11"/>
      <c r="J24" s="14"/>
      <c r="K24" s="11"/>
      <c r="L24" s="14"/>
      <c r="M24" s="12"/>
      <c r="N24" s="17"/>
      <c r="O24" s="9"/>
      <c r="P24" s="8"/>
      <c r="Q24" s="9"/>
      <c r="R24" s="8"/>
      <c r="S24" s="9"/>
    </row>
    <row r="25" spans="1:19" s="3" customFormat="1" ht="12.75">
      <c r="A25" s="13"/>
      <c r="B25" s="28"/>
      <c r="C25" s="29"/>
      <c r="D25" s="30"/>
      <c r="E25" s="28"/>
      <c r="G25" s="13"/>
      <c r="H25" s="14"/>
      <c r="I25" s="11"/>
      <c r="J25" s="14"/>
      <c r="K25" s="11"/>
      <c r="L25" s="14"/>
      <c r="M25" s="12"/>
      <c r="N25" s="17"/>
      <c r="O25" s="9"/>
      <c r="P25" s="8"/>
      <c r="Q25" s="9"/>
      <c r="R25" s="8"/>
      <c r="S25" s="9"/>
    </row>
    <row r="26" spans="1:19" s="3" customFormat="1" ht="12.75">
      <c r="A26" s="13"/>
      <c r="B26" s="28"/>
      <c r="C26" s="29"/>
      <c r="D26" s="30"/>
      <c r="E26" s="28"/>
      <c r="G26" s="13"/>
      <c r="H26" s="14"/>
      <c r="I26" s="11"/>
      <c r="J26" s="14"/>
      <c r="K26" s="11"/>
      <c r="L26" s="14"/>
      <c r="M26" s="12"/>
      <c r="N26" s="17"/>
      <c r="O26" s="9"/>
      <c r="P26" s="8"/>
      <c r="Q26" s="9"/>
      <c r="R26" s="8"/>
      <c r="S26" s="9"/>
    </row>
    <row r="27" spans="1:19" s="3" customFormat="1" ht="12.75">
      <c r="A27" s="13"/>
      <c r="B27" s="28"/>
      <c r="C27" s="29"/>
      <c r="D27" s="30"/>
      <c r="E27" s="28"/>
      <c r="G27" s="13"/>
      <c r="H27" s="14"/>
      <c r="I27" s="11"/>
      <c r="J27" s="14"/>
      <c r="K27" s="11"/>
      <c r="L27" s="14"/>
      <c r="M27" s="12"/>
      <c r="N27" s="17"/>
      <c r="O27" s="9"/>
      <c r="P27" s="8"/>
      <c r="Q27" s="9"/>
      <c r="R27" s="8"/>
      <c r="S27" s="9"/>
    </row>
    <row r="28" spans="1:19" s="3" customFormat="1" ht="12.75">
      <c r="A28" s="13"/>
      <c r="B28" s="28"/>
      <c r="C28" s="29"/>
      <c r="D28" s="30"/>
      <c r="E28" s="28"/>
      <c r="G28" s="13"/>
      <c r="H28" s="14"/>
      <c r="I28" s="11"/>
      <c r="J28" s="14"/>
      <c r="K28" s="11"/>
      <c r="L28" s="14"/>
      <c r="M28" s="12"/>
      <c r="N28" s="17"/>
      <c r="O28" s="9"/>
      <c r="P28" s="8"/>
      <c r="Q28" s="9"/>
      <c r="R28" s="8"/>
      <c r="S28" s="9"/>
    </row>
    <row r="29" spans="1:19" s="3" customFormat="1" ht="12.75">
      <c r="A29" s="13"/>
      <c r="B29" s="28"/>
      <c r="C29" s="29"/>
      <c r="D29" s="30"/>
      <c r="E29" s="28"/>
      <c r="G29" s="13"/>
      <c r="H29" s="14"/>
      <c r="I29" s="11"/>
      <c r="J29" s="14"/>
      <c r="K29" s="11"/>
      <c r="L29" s="14"/>
      <c r="M29" s="12"/>
      <c r="N29" s="17"/>
      <c r="O29" s="9"/>
      <c r="P29" s="8"/>
      <c r="Q29" s="9"/>
      <c r="R29" s="8"/>
      <c r="S29" s="9"/>
    </row>
    <row r="30" spans="1:19" s="3" customFormat="1" ht="12.75">
      <c r="A30" s="13"/>
      <c r="B30" s="28"/>
      <c r="C30" s="29"/>
      <c r="D30" s="30"/>
      <c r="E30" s="28"/>
      <c r="G30" s="13"/>
      <c r="H30" s="14"/>
      <c r="I30" s="11"/>
      <c r="J30" s="14"/>
      <c r="K30" s="11"/>
      <c r="L30" s="14"/>
      <c r="M30" s="12"/>
      <c r="N30" s="17"/>
      <c r="O30" s="9"/>
      <c r="P30" s="8"/>
      <c r="Q30" s="9"/>
      <c r="R30" s="8"/>
      <c r="S30" s="9"/>
    </row>
    <row r="31" spans="1:19" s="3" customFormat="1" ht="12.75">
      <c r="A31" s="13"/>
      <c r="B31" s="28"/>
      <c r="C31" s="29"/>
      <c r="D31" s="30"/>
      <c r="E31" s="28"/>
      <c r="G31" s="13"/>
      <c r="H31" s="14"/>
      <c r="I31" s="11"/>
      <c r="J31" s="14"/>
      <c r="K31" s="11"/>
      <c r="L31" s="14"/>
      <c r="M31" s="12"/>
      <c r="N31" s="17"/>
      <c r="O31" s="9"/>
      <c r="P31" s="8"/>
      <c r="Q31" s="9"/>
      <c r="R31" s="8"/>
      <c r="S31" s="9"/>
    </row>
    <row r="32" spans="1:19" s="3" customFormat="1" ht="12.75">
      <c r="A32" s="13"/>
      <c r="B32" s="31"/>
      <c r="C32" s="28"/>
      <c r="D32" s="30"/>
      <c r="E32" s="28"/>
      <c r="G32" s="13"/>
      <c r="H32" s="11"/>
      <c r="I32" s="11"/>
      <c r="J32" s="11"/>
      <c r="K32" s="11"/>
      <c r="L32" s="11"/>
      <c r="M32" s="12"/>
      <c r="N32" s="17"/>
      <c r="O32" s="9"/>
      <c r="P32" s="8"/>
      <c r="Q32" s="9"/>
      <c r="R32" s="8"/>
      <c r="S32" s="9"/>
    </row>
    <row r="33" spans="1:19" s="3" customFormat="1" ht="12.75">
      <c r="A33" s="13"/>
      <c r="G33" s="13"/>
      <c r="H33" s="11"/>
      <c r="I33" s="11"/>
      <c r="J33" s="11"/>
      <c r="K33" s="11"/>
      <c r="L33" s="11"/>
      <c r="M33" s="12"/>
      <c r="N33" s="17"/>
      <c r="O33" s="9"/>
      <c r="P33" s="8"/>
      <c r="Q33" s="9"/>
      <c r="R33" s="8"/>
      <c r="S33" s="9"/>
    </row>
    <row r="34" spans="7:19" s="3" customFormat="1" ht="12.75">
      <c r="G34" s="5"/>
      <c r="H34" s="15"/>
      <c r="I34" s="11"/>
      <c r="K34" s="11"/>
      <c r="M34" s="12"/>
      <c r="N34" s="17"/>
      <c r="O34" s="9"/>
      <c r="P34" s="41"/>
      <c r="Q34" s="9"/>
      <c r="R34" s="41"/>
      <c r="S34" s="9"/>
    </row>
    <row r="35" spans="1:19" s="3" customFormat="1" ht="12.75">
      <c r="A35" s="5"/>
      <c r="N35" s="40"/>
      <c r="O35" s="41"/>
      <c r="P35" s="41"/>
      <c r="Q35" s="41"/>
      <c r="R35" s="41"/>
      <c r="S35" s="41"/>
    </row>
    <row r="36" spans="14:19" s="3" customFormat="1" ht="12.75">
      <c r="N36" s="40"/>
      <c r="O36" s="41"/>
      <c r="P36" s="41"/>
      <c r="Q36" s="41"/>
      <c r="R36" s="41"/>
      <c r="S36" s="41"/>
    </row>
    <row r="37" spans="14:19" s="3" customFormat="1" ht="12.75">
      <c r="N37" s="40"/>
      <c r="O37" s="41"/>
      <c r="P37" s="41"/>
      <c r="Q37" s="41"/>
      <c r="R37" s="41"/>
      <c r="S37" s="41"/>
    </row>
  </sheetData>
  <printOptions/>
  <pageMargins left="0.75" right="0.75" top="1" bottom="1" header="0.5" footer="0.5"/>
  <pageSetup horizontalDpi="600" verticalDpi="600" orientation="landscape" pageOrder="overThenDown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anisz</dc:creator>
  <cp:keywords/>
  <dc:description/>
  <cp:lastModifiedBy>netteluser</cp:lastModifiedBy>
  <cp:lastPrinted>2008-04-15T14:14:06Z</cp:lastPrinted>
  <dcterms:created xsi:type="dcterms:W3CDTF">2006-07-27T13:47:36Z</dcterms:created>
  <dcterms:modified xsi:type="dcterms:W3CDTF">2008-04-23T15:58:36Z</dcterms:modified>
  <cp:category/>
  <cp:version/>
  <cp:contentType/>
  <cp:contentStatus/>
</cp:coreProperties>
</file>