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14700" windowHeight="7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<sst xmlns="http://schemas.openxmlformats.org/spreadsheetml/2006/main" count="95" uniqueCount="13">
  <si>
    <t xml:space="preserve">ORG_NAME </t>
  </si>
  <si>
    <t xml:space="preserve">ADDRESS1 </t>
  </si>
  <si>
    <t xml:space="preserve">ADDRESS2 </t>
  </si>
  <si>
    <t xml:space="preserve">ADDRESS3 </t>
  </si>
  <si>
    <t xml:space="preserve">ADDRESS4 </t>
  </si>
  <si>
    <t xml:space="preserve">CITY </t>
  </si>
  <si>
    <t xml:space="preserve">STATE </t>
  </si>
  <si>
    <t xml:space="preserve">ZIP </t>
  </si>
  <si>
    <t xml:space="preserve">TELEPHONE </t>
  </si>
  <si>
    <t xml:space="preserve">FAX </t>
  </si>
  <si>
    <t xml:space="preserve"> </t>
  </si>
  <si>
    <t>OFFICE OF SURFACE MINING</t>
  </si>
  <si>
    <t xml:space="preserve">BUREAU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</si>
</sst>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tabSelected="1" workbookViewId="0" topLeftCell="A1">
      <selection activeCell="A1" sqref="A1:IV1"/>
    </sheetView>
  </sheetViews>
  <sheetFormatPr defaultColWidth="9.140625" defaultRowHeight="12.75"/>
  <cols>
    <col min="1" max="1" width="32.140625" style="0" customWidth="1"/>
    <col min="2" max="2" width="37.421875" style="0" customWidth="1"/>
    <col min="3" max="3" width="39.421875" style="0" customWidth="1"/>
    <col min="4" max="4" width="36.28125" style="0" customWidth="1"/>
    <col min="5" max="5" width="29.8515625" style="0" customWidth="1"/>
    <col min="6" max="6" width="30.140625" style="0" customWidth="1"/>
    <col min="7" max="7" width="18.421875" style="0" customWidth="1"/>
    <col min="9" max="9" width="12.140625" style="0" customWidth="1"/>
    <col min="10" max="10" width="17.00390625" style="0" customWidth="1"/>
    <col min="11" max="11" width="16.8515625" style="0" customWidth="1"/>
  </cols>
  <sheetData>
    <row r="1" spans="1:11" s="3" customFormat="1" ht="12.75">
      <c r="A1" s="2" t="s">
        <v>12</v>
      </c>
      <c r="B1" s="3" t="s">
        <v>0</v>
      </c>
      <c r="C1" s="3" t="s">
        <v>1</v>
      </c>
      <c r="D1" s="3" t="s">
        <v>2</v>
      </c>
      <c r="E1" s="2" t="s">
        <v>3</v>
      </c>
      <c r="F1" s="3" t="s">
        <v>4</v>
      </c>
      <c r="G1" s="3" t="s">
        <v>5</v>
      </c>
      <c r="H1" s="3" t="s">
        <v>6</v>
      </c>
      <c r="I1" s="4" t="s">
        <v>7</v>
      </c>
      <c r="J1" s="2" t="s">
        <v>8</v>
      </c>
      <c r="K1" s="2" t="s">
        <v>9</v>
      </c>
    </row>
    <row r="2" spans="1:11" ht="12.75">
      <c r="A2" s="1" t="s">
        <v>11</v>
      </c>
      <c r="B2" t="str">
        <f>T("OFC OF THE DIRECTOR")</f>
        <v>OFC OF THE DIRECTOR</v>
      </c>
      <c r="C2" t="str">
        <f>T("DOI OFFICE OF SURFACE MINING")</f>
        <v>DOI OFFICE OF SURFACE MINING</v>
      </c>
      <c r="D2" t="str">
        <f>T("1951 CONSTITUTION AVE  NW")</f>
        <v>1951 CONSTITUTION AVE  NW</v>
      </c>
      <c r="E2" t="s">
        <v>10</v>
      </c>
      <c r="F2" t="str">
        <f>T("ATTN: PAT DAYS MCILWAIN")</f>
        <v>ATTN: PAT DAYS MCILWAIN</v>
      </c>
      <c r="G2" t="str">
        <f>T("WASHINGTON")</f>
        <v>WASHINGTON</v>
      </c>
      <c r="H2" t="str">
        <f>T("DC ")</f>
        <v>DC </v>
      </c>
      <c r="I2" s="1">
        <f>N(20240)</f>
        <v>20240</v>
      </c>
      <c r="J2" s="1" t="str">
        <f>T("202 208 4006")</f>
        <v>202 208 4006</v>
      </c>
      <c r="K2" s="1" t="str">
        <f>T("202 219 3106")</f>
        <v>202 219 3106</v>
      </c>
    </row>
    <row r="3" spans="1:11" ht="12.75">
      <c r="A3" s="1" t="s">
        <v>11</v>
      </c>
      <c r="B3" t="str">
        <f>T("OFC OF EQUAL OPPORTUNITY")</f>
        <v>OFC OF EQUAL OPPORTUNITY</v>
      </c>
      <c r="C3" t="str">
        <f aca="true" t="shared" si="0" ref="C3:C42">T("DOI OFFICE OF SURFACE MINING")</f>
        <v>DOI OFFICE OF SURFACE MINING</v>
      </c>
      <c r="D3" t="str">
        <f>T("1951 CONSTITUTION AVE  NW")</f>
        <v>1951 CONSTITUTION AVE  NW</v>
      </c>
      <c r="E3" t="s">
        <v>10</v>
      </c>
      <c r="F3" t="str">
        <f>T("ATTN: OLIVIA CRUMP")</f>
        <v>ATTN: OLIVIA CRUMP</v>
      </c>
      <c r="G3" t="str">
        <f>T("WASHINGTON")</f>
        <v>WASHINGTON</v>
      </c>
      <c r="H3" t="str">
        <f>T("DC ")</f>
        <v>DC </v>
      </c>
      <c r="I3" s="1">
        <f>N(20240)</f>
        <v>20240</v>
      </c>
      <c r="J3" s="1" t="str">
        <f>T("202 208 5897")</f>
        <v>202 208 5897</v>
      </c>
      <c r="K3" s="1" t="str">
        <f>T("202 219 3106")</f>
        <v>202 219 3106</v>
      </c>
    </row>
    <row r="4" spans="1:11" ht="12.75">
      <c r="A4" s="1" t="s">
        <v>11</v>
      </c>
      <c r="B4" t="str">
        <f>T("OFC OF COMMUNICATION")</f>
        <v>OFC OF COMMUNICATION</v>
      </c>
      <c r="C4" t="str">
        <f t="shared" si="0"/>
        <v>DOI OFFICE OF SURFACE MINING</v>
      </c>
      <c r="D4" t="str">
        <f>T("1951 CONSTITUTION AVE  NW")</f>
        <v>1951 CONSTITUTION AVE  NW</v>
      </c>
      <c r="E4" t="s">
        <v>10</v>
      </c>
      <c r="F4" t="str">
        <f>T("ATTN: CYNTHIA JOHNSON")</f>
        <v>ATTN: CYNTHIA JOHNSON</v>
      </c>
      <c r="G4" t="str">
        <f>T("WASHINGTON")</f>
        <v>WASHINGTON</v>
      </c>
      <c r="H4" t="str">
        <f>T("DC ")</f>
        <v>DC </v>
      </c>
      <c r="I4" s="1">
        <f>N(20240)</f>
        <v>20240</v>
      </c>
      <c r="J4" s="1" t="str">
        <f>T("202 208 2730")</f>
        <v>202 208 2730</v>
      </c>
      <c r="K4" s="1" t="str">
        <f>T("202 501 0549")</f>
        <v>202 501 0549</v>
      </c>
    </row>
    <row r="5" spans="1:11" ht="12.75">
      <c r="A5" s="1" t="s">
        <v>11</v>
      </c>
      <c r="B5" t="str">
        <f>T("FINANCE AND ADMIN DIRECT'TE")</f>
        <v>FINANCE AND ADMIN DIRECT'TE</v>
      </c>
      <c r="C5" t="str">
        <f t="shared" si="0"/>
        <v>DOI OFFICE OF SURFACE MINING</v>
      </c>
      <c r="D5" t="str">
        <f>T("1951 CONSTITUTION AVE  NW")</f>
        <v>1951 CONSTITUTION AVE  NW</v>
      </c>
      <c r="E5" t="s">
        <v>10</v>
      </c>
      <c r="F5" t="str">
        <f>T("ATTN: SARAH JENKINS")</f>
        <v>ATTN: SARAH JENKINS</v>
      </c>
      <c r="G5" t="str">
        <f>T("WASHINGTON")</f>
        <v>WASHINGTON</v>
      </c>
      <c r="H5" t="str">
        <f>T("DC ")</f>
        <v>DC </v>
      </c>
      <c r="I5" s="1">
        <f>N(20240)</f>
        <v>20240</v>
      </c>
      <c r="J5" s="1" t="str">
        <f>T("202 208 2734")</f>
        <v>202 208 2734</v>
      </c>
      <c r="K5" s="1" t="str">
        <f>T("202 501 4734")</f>
        <v>202 501 4734</v>
      </c>
    </row>
    <row r="6" spans="1:11" ht="12.75">
      <c r="A6" s="1" t="s">
        <v>11</v>
      </c>
      <c r="B6" t="str">
        <f>T("DIV OF FINANCIAL MGMT")</f>
        <v>DIV OF FINANCIAL MGMT</v>
      </c>
      <c r="C6" t="str">
        <f t="shared" si="0"/>
        <v>DOI OFFICE OF SURFACE MINING</v>
      </c>
      <c r="D6" t="str">
        <f>T("PO BOX 25065")</f>
        <v>PO BOX 25065</v>
      </c>
      <c r="E6" t="str">
        <f>T("BLDG 20  RM B 2005")</f>
        <v>BLDG 20  RM B 2005</v>
      </c>
      <c r="F6" t="str">
        <f>T("ATTN: JACKIE TEKRONY")</f>
        <v>ATTN: JACKIE TEKRONY</v>
      </c>
      <c r="G6" t="str">
        <f>T("DENVER")</f>
        <v>DENVER</v>
      </c>
      <c r="H6" t="str">
        <f>T("CO ")</f>
        <v>CO </v>
      </c>
      <c r="I6" s="1">
        <f>N(80225)</f>
        <v>80225</v>
      </c>
      <c r="J6" s="1" t="str">
        <f>T("303 236 0330")</f>
        <v>303 236 0330</v>
      </c>
      <c r="K6" s="1" t="str">
        <f>T("303 236 0340")</f>
        <v>303 236 0340</v>
      </c>
    </row>
    <row r="7" spans="1:11" ht="12.75">
      <c r="A7" s="1" t="s">
        <v>11</v>
      </c>
      <c r="B7" t="str">
        <f>T("DIV OF INFO SYSTEMS MGMT")</f>
        <v>DIV OF INFO SYSTEMS MGMT</v>
      </c>
      <c r="C7" t="str">
        <f t="shared" si="0"/>
        <v>DOI OFFICE OF SURFACE MINING</v>
      </c>
      <c r="D7" t="str">
        <f>T("1951 CONSTITUTION AVE  NW")</f>
        <v>1951 CONSTITUTION AVE  NW</v>
      </c>
      <c r="E7" t="s">
        <v>10</v>
      </c>
      <c r="F7" t="str">
        <f>T("ATTN: ANITA HONG FONG")</f>
        <v>ATTN: ANITA HONG FONG</v>
      </c>
      <c r="G7" t="str">
        <f>T("WASHINGTON")</f>
        <v>WASHINGTON</v>
      </c>
      <c r="H7" t="str">
        <f>T("DC ")</f>
        <v>DC </v>
      </c>
      <c r="I7" s="1">
        <f>N(20240)</f>
        <v>20240</v>
      </c>
      <c r="J7" s="1" t="str">
        <f>T("202 208 2508")</f>
        <v>202 208 2508</v>
      </c>
      <c r="K7" s="1" t="str">
        <f>T("202 219 3092")</f>
        <v>202 219 3092</v>
      </c>
    </row>
    <row r="8" spans="1:11" ht="12.75">
      <c r="A8" s="1" t="s">
        <v>11</v>
      </c>
      <c r="B8" t="str">
        <f>T("DIV OF COMPLIANCE MGMT")</f>
        <v>DIV OF COMPLIANCE MGMT</v>
      </c>
      <c r="C8" t="str">
        <f t="shared" si="0"/>
        <v>DOI OFFICE OF SURFACE MINING</v>
      </c>
      <c r="D8" t="str">
        <f>T("THREE PARKWAY CENTER")</f>
        <v>THREE PARKWAY CENTER</v>
      </c>
      <c r="E8" t="s">
        <v>10</v>
      </c>
      <c r="F8" t="str">
        <f>T("ATTN: DEBRA VOGEL")</f>
        <v>ATTN: DEBRA VOGEL</v>
      </c>
      <c r="G8" t="str">
        <f>T("PITTSBURGH")</f>
        <v>PITTSBURGH</v>
      </c>
      <c r="H8" t="str">
        <f>T("PA ")</f>
        <v>PA </v>
      </c>
      <c r="I8" s="1">
        <f>N(15520)</f>
        <v>15520</v>
      </c>
      <c r="J8" s="1" t="str">
        <f>T("412 937 2911")</f>
        <v>412 937 2911</v>
      </c>
      <c r="K8" s="1" t="str">
        <f>T("412 937 2920")</f>
        <v>412 937 2920</v>
      </c>
    </row>
    <row r="9" spans="1:11" ht="12.75">
      <c r="A9" s="1" t="s">
        <v>11</v>
      </c>
      <c r="B9" t="str">
        <f>T("PROGRAM SPT DIRECTORATE")</f>
        <v>PROGRAM SPT DIRECTORATE</v>
      </c>
      <c r="C9" t="str">
        <f t="shared" si="0"/>
        <v>DOI OFFICE OF SURFACE MINING</v>
      </c>
      <c r="D9" t="str">
        <f>T("1951 CONSTITUTION AVE  NW")</f>
        <v>1951 CONSTITUTION AVE  NW</v>
      </c>
      <c r="E9" t="s">
        <v>10</v>
      </c>
      <c r="F9" t="str">
        <f>T("ATTN: MARIE COLEMAN QUIN")</f>
        <v>ATTN: MARIE COLEMAN QUIN</v>
      </c>
      <c r="G9" t="str">
        <f>T("WASHINGTON")</f>
        <v>WASHINGTON</v>
      </c>
      <c r="H9" t="str">
        <f>T("DC ")</f>
        <v>DC </v>
      </c>
      <c r="I9" s="1">
        <f>N(20240)</f>
        <v>20240</v>
      </c>
      <c r="J9" s="1" t="str">
        <f>T("202 208 4264")</f>
        <v>202 208 4264</v>
      </c>
      <c r="K9" s="1" t="str">
        <f>T("202 219 0253")</f>
        <v>202 219 0253</v>
      </c>
    </row>
    <row r="10" spans="1:11" ht="12.75">
      <c r="A10" s="1" t="s">
        <v>11</v>
      </c>
      <c r="B10" t="str">
        <f>T("DIV OF REGULATORY SPT")</f>
        <v>DIV OF REGULATORY SPT</v>
      </c>
      <c r="C10" t="str">
        <f t="shared" si="0"/>
        <v>DOI OFFICE OF SURFACE MINING</v>
      </c>
      <c r="D10" t="str">
        <f>T("1951 CONSTITUTION AVE  NW")</f>
        <v>1951 CONSTITUTION AVE  NW</v>
      </c>
      <c r="E10" t="s">
        <v>10</v>
      </c>
      <c r="F10" t="str">
        <f>T("ATTN: LILLIAN CRUMP")</f>
        <v>ATTN: LILLIAN CRUMP</v>
      </c>
      <c r="G10" t="str">
        <f>T("WASHINGTON")</f>
        <v>WASHINGTON</v>
      </c>
      <c r="H10" t="str">
        <f>T("DC ")</f>
        <v>DC </v>
      </c>
      <c r="I10" s="1">
        <f>N(20240)</f>
        <v>20240</v>
      </c>
      <c r="J10" s="1" t="str">
        <f>T("202 208 2651")</f>
        <v>202 208 2651</v>
      </c>
      <c r="K10" s="1" t="str">
        <f>T("202 219 3100")</f>
        <v>202 219 3100</v>
      </c>
    </row>
    <row r="11" spans="1:11" ht="12.75">
      <c r="A11" s="1" t="s">
        <v>11</v>
      </c>
      <c r="B11" t="str">
        <f>T("TECHNICAL TRAINING STAFF")</f>
        <v>TECHNICAL TRAINING STAFF</v>
      </c>
      <c r="C11" t="str">
        <f t="shared" si="0"/>
        <v>DOI OFFICE OF SURFACE MINING</v>
      </c>
      <c r="D11" t="str">
        <f>T("1951 CONSTITUTION AVE  NW")</f>
        <v>1951 CONSTITUTION AVE  NW</v>
      </c>
      <c r="E11" t="s">
        <v>10</v>
      </c>
      <c r="F11" t="str">
        <f>T("ATTN: MAE KIMBROUGH")</f>
        <v>ATTN: MAE KIMBROUGH</v>
      </c>
      <c r="G11" t="str">
        <f>T("WASHINGTON")</f>
        <v>WASHINGTON</v>
      </c>
      <c r="H11" t="str">
        <f>T("DC ")</f>
        <v>DC </v>
      </c>
      <c r="I11" s="1">
        <f>N(20240)</f>
        <v>20240</v>
      </c>
      <c r="J11" s="1" t="str">
        <f>T("202 208 2769")</f>
        <v>202 208 2769</v>
      </c>
      <c r="K11" s="1" t="str">
        <f>T("202 219 3111")</f>
        <v>202 219 3111</v>
      </c>
    </row>
    <row r="12" spans="1:11" ht="12.75">
      <c r="A12" s="1" t="s">
        <v>11</v>
      </c>
      <c r="B12" t="str">
        <f>T("DIV OF RECLAIMATION SPT")</f>
        <v>DIV OF RECLAIMATION SPT</v>
      </c>
      <c r="C12" t="str">
        <f t="shared" si="0"/>
        <v>DOI OFFICE OF SURFACE MINING</v>
      </c>
      <c r="D12" t="str">
        <f>T("1951 CONSTITUTION AVE  NW")</f>
        <v>1951 CONSTITUTION AVE  NW</v>
      </c>
      <c r="E12" t="s">
        <v>10</v>
      </c>
      <c r="F12" t="str">
        <f>T("ATTN: TOWANNA THOMPSON")</f>
        <v>ATTN: TOWANNA THOMPSON</v>
      </c>
      <c r="G12" t="str">
        <f>T("WASHINGTON")</f>
        <v>WASHINGTON</v>
      </c>
      <c r="H12" t="str">
        <f>T("DC ")</f>
        <v>DC </v>
      </c>
      <c r="I12" s="1">
        <f>N(20240)</f>
        <v>20240</v>
      </c>
      <c r="J12" s="1" t="str">
        <f>T("202 208 5365")</f>
        <v>202 208 5365</v>
      </c>
      <c r="K12" s="1" t="str">
        <f>T("202 219 0239")</f>
        <v>202 219 0239</v>
      </c>
    </row>
    <row r="13" spans="1:11" ht="12.75">
      <c r="A13" s="1" t="s">
        <v>11</v>
      </c>
      <c r="B13" t="str">
        <f>T("DIV OF ADMINISTRATIVE SVCS")</f>
        <v>DIV OF ADMINISTRATIVE SVCS</v>
      </c>
      <c r="C13" t="str">
        <f t="shared" si="0"/>
        <v>DOI OFFICE OF SURFACE MINING</v>
      </c>
      <c r="D13" t="str">
        <f>T("THREE PARKWAY CENTER")</f>
        <v>THREE PARKWAY CENTER</v>
      </c>
      <c r="E13" t="s">
        <v>10</v>
      </c>
      <c r="F13" t="str">
        <f>T("ATTN: ELAINE DINOME")</f>
        <v>ATTN: ELAINE DINOME</v>
      </c>
      <c r="G13" t="str">
        <f>T("PITTSBURGH")</f>
        <v>PITTSBURGH</v>
      </c>
      <c r="H13" t="str">
        <f>T("PA ")</f>
        <v>PA </v>
      </c>
      <c r="I13" s="1">
        <f>N(15520)</f>
        <v>15520</v>
      </c>
      <c r="J13" s="1" t="str">
        <f>T("412 937 2843")</f>
        <v>412 937 2843</v>
      </c>
      <c r="K13" s="1" t="str">
        <f>T("412 937 2888")</f>
        <v>412 937 2888</v>
      </c>
    </row>
    <row r="14" spans="1:11" ht="12.75">
      <c r="A14" s="1" t="s">
        <v>11</v>
      </c>
      <c r="B14" t="str">
        <f>T("DIV OF PROGRAM SPT")</f>
        <v>DIV OF PROGRAM SPT</v>
      </c>
      <c r="C14" t="str">
        <f t="shared" si="0"/>
        <v>DOI OFFICE OF SURFACE MINING</v>
      </c>
      <c r="D14" t="str">
        <f>T("THREE PARKWAY CENTER")</f>
        <v>THREE PARKWAY CENTER</v>
      </c>
      <c r="E14" t="s">
        <v>10</v>
      </c>
      <c r="F14" t="str">
        <f>T("ATTN: BONNIE DANO")</f>
        <v>ATTN: BONNIE DANO</v>
      </c>
      <c r="G14" t="str">
        <f>T("PITTSBURGH")</f>
        <v>PITTSBURGH</v>
      </c>
      <c r="H14" t="str">
        <f>T("PA ")</f>
        <v>PA </v>
      </c>
      <c r="I14" s="1">
        <f>N(15520)</f>
        <v>15520</v>
      </c>
      <c r="J14" s="1" t="str">
        <f>T("412 937 2855")</f>
        <v>412 937 2855</v>
      </c>
      <c r="K14" s="1" t="str">
        <f>T("412 937 3012")</f>
        <v>412 937 3012</v>
      </c>
    </row>
    <row r="15" spans="1:11" ht="12.75">
      <c r="A15" s="1" t="s">
        <v>11</v>
      </c>
      <c r="B15" t="str">
        <f>T("DIV OF FEDERAL RECLAIMATION")</f>
        <v>DIV OF FEDERAL RECLAIMATION</v>
      </c>
      <c r="C15" t="str">
        <f t="shared" si="0"/>
        <v>DOI OFFICE OF SURFACE MINING</v>
      </c>
      <c r="D15" t="str">
        <f>T("THREE PARKWAY CENTER")</f>
        <v>THREE PARKWAY CENTER</v>
      </c>
      <c r="E15" t="s">
        <v>10</v>
      </c>
      <c r="F15" t="str">
        <f>T("ATTN: ELAINE DINOME")</f>
        <v>ATTN: ELAINE DINOME</v>
      </c>
      <c r="G15" t="str">
        <f>T("PITTSBURGH")</f>
        <v>PITTSBURGH</v>
      </c>
      <c r="H15" t="str">
        <f>T("PA ")</f>
        <v>PA </v>
      </c>
      <c r="I15" s="1">
        <f>N(15520)</f>
        <v>15520</v>
      </c>
      <c r="J15" s="1" t="str">
        <f>T("412 937 2843")</f>
        <v>412 937 2843</v>
      </c>
      <c r="K15" s="1" t="str">
        <f>T("412 937 2888")</f>
        <v>412 937 2888</v>
      </c>
    </row>
    <row r="16" spans="1:11" ht="12.75">
      <c r="A16" s="1" t="s">
        <v>11</v>
      </c>
      <c r="B16" t="str">
        <f>T("COLUMBUS OH OVRST &amp; INSPCTN")</f>
        <v>COLUMBUS OH OVRST &amp; INSPCTN</v>
      </c>
      <c r="C16" t="str">
        <f t="shared" si="0"/>
        <v>DOI OFFICE OF SURFACE MINING</v>
      </c>
      <c r="D16" t="str">
        <f>T("EASTLAND PROFESSIONAL PLAZA")</f>
        <v>EASTLAND PROFESSIONAL PLAZA</v>
      </c>
      <c r="E16" t="str">
        <f>T("4480 REFUGEE RD  STE201")</f>
        <v>4480 REFUGEE RD  STE201</v>
      </c>
      <c r="F16" t="str">
        <f>T("ATTN: PATRICIA MURDOCK")</f>
        <v>ATTN: PATRICIA MURDOCK</v>
      </c>
      <c r="G16" t="str">
        <f>T("COLUMBUS")</f>
        <v>COLUMBUS</v>
      </c>
      <c r="H16" t="str">
        <f>T("OH ")</f>
        <v>OH </v>
      </c>
      <c r="I16" s="1">
        <f>N(43232)</f>
        <v>43232</v>
      </c>
      <c r="J16" s="1" t="str">
        <f>T("614 866 0578")</f>
        <v>614 866 0578</v>
      </c>
      <c r="K16" s="1" t="str">
        <f>T("614 469 2506")</f>
        <v>614 469 2506</v>
      </c>
    </row>
    <row r="17" spans="1:11" ht="12.75">
      <c r="A17" s="1" t="s">
        <v>11</v>
      </c>
      <c r="B17" t="str">
        <f>T("BIG STONE GAP VA FIELD OFC")</f>
        <v>BIG STONE GAP VA FIELD OFC</v>
      </c>
      <c r="C17" t="str">
        <f t="shared" si="0"/>
        <v>DOI OFFICE OF SURFACE MINING</v>
      </c>
      <c r="D17" t="str">
        <f>T("1941 NEELEY RD  STE 201")</f>
        <v>1941 NEELEY RD  STE 201</v>
      </c>
      <c r="E17" t="str">
        <f>T("COMPARTMENT 116")</f>
        <v>COMPARTMENT 116</v>
      </c>
      <c r="F17" t="str">
        <f>T("ATTN: SANDRA TOLBERT")</f>
        <v>ATTN: SANDRA TOLBERT</v>
      </c>
      <c r="G17" t="str">
        <f>T("BIG STONE GAP")</f>
        <v>BIG STONE GAP</v>
      </c>
      <c r="H17" t="str">
        <f>T("VA ")</f>
        <v>VA </v>
      </c>
      <c r="I17" s="1">
        <f>N(24219)</f>
        <v>24219</v>
      </c>
      <c r="J17" s="1" t="str">
        <f>T("276 523 4303")</f>
        <v>276 523 4303</v>
      </c>
      <c r="K17" s="1" t="str">
        <f>T("276 523 5053")</f>
        <v>276 523 5053</v>
      </c>
    </row>
    <row r="18" spans="1:11" ht="12.75">
      <c r="A18" s="1" t="s">
        <v>11</v>
      </c>
      <c r="B18" t="str">
        <f>T("CHARLESTON VA FIELD OFC")</f>
        <v>CHARLESTON VA FIELD OFC</v>
      </c>
      <c r="C18" t="str">
        <f t="shared" si="0"/>
        <v>DOI OFFICE OF SURFACE MINING</v>
      </c>
      <c r="D18" t="str">
        <f>T("1027 VIRGINIA ST  EAST")</f>
        <v>1027 VIRGINIA ST  EAST</v>
      </c>
      <c r="E18" t="s">
        <v>10</v>
      </c>
      <c r="F18" t="str">
        <f>T("ATTN: SHERRY THOMAS")</f>
        <v>ATTN: SHERRY THOMAS</v>
      </c>
      <c r="G18" t="str">
        <f>T("CHARLESTON")</f>
        <v>CHARLESTON</v>
      </c>
      <c r="H18" t="str">
        <f>T("WV ")</f>
        <v>WV </v>
      </c>
      <c r="I18" s="1">
        <f>N(25301)</f>
        <v>25301</v>
      </c>
      <c r="J18" s="1" t="str">
        <f>T("304 347 7158")</f>
        <v>304 347 7158</v>
      </c>
      <c r="K18" s="1" t="str">
        <f>T("304 347 7170")</f>
        <v>304 347 7170</v>
      </c>
    </row>
    <row r="19" spans="1:11" ht="12.75">
      <c r="A19" s="1" t="s">
        <v>11</v>
      </c>
      <c r="B19" t="str">
        <f>T("HARRISBURG PA FIELD OFC")</f>
        <v>HARRISBURG PA FIELD OFC</v>
      </c>
      <c r="C19" t="str">
        <f t="shared" si="0"/>
        <v>DOI OFFICE OF SURFACE MINING</v>
      </c>
      <c r="D19" t="str">
        <f>T("HARRISBURG TRANS CENTER")</f>
        <v>HARRISBURG TRANS CENTER</v>
      </c>
      <c r="E19" t="str">
        <f>T("415 MARKET ST  STE 3C")</f>
        <v>415 MARKET ST  STE 3C</v>
      </c>
      <c r="F19" t="str">
        <f>T("ATTN: LINDA SZERBA")</f>
        <v>ATTN: LINDA SZERBA</v>
      </c>
      <c r="G19" t="str">
        <f>T("HARRISBURG")</f>
        <v>HARRISBURG</v>
      </c>
      <c r="H19" t="str">
        <f>T("PA ")</f>
        <v>PA </v>
      </c>
      <c r="I19" s="1">
        <f>N(17101)</f>
        <v>17101</v>
      </c>
      <c r="J19" s="1" t="str">
        <f>T("717 782 4036")</f>
        <v>717 782 4036</v>
      </c>
      <c r="K19" s="1" t="str">
        <f>T("717 782 3771")</f>
        <v>717 782 3771</v>
      </c>
    </row>
    <row r="20" spans="1:11" ht="12.75">
      <c r="A20" s="1" t="s">
        <v>11</v>
      </c>
      <c r="B20" t="str">
        <f>T("KNOXVILLE TN FIELD OFC")</f>
        <v>KNOXVILLE TN FIELD OFC</v>
      </c>
      <c r="C20" t="str">
        <f t="shared" si="0"/>
        <v>DOI OFFICE OF SURFACE MINING</v>
      </c>
      <c r="D20" t="str">
        <f>T("530 GAY ST  STE 500")</f>
        <v>530 GAY ST  STE 500</v>
      </c>
      <c r="E20" t="s">
        <v>10</v>
      </c>
      <c r="F20" t="str">
        <f>T("ATTN: DENNY GRISWOLD")</f>
        <v>ATTN: DENNY GRISWOLD</v>
      </c>
      <c r="G20" t="str">
        <f>T("KNOXVILLE")</f>
        <v>KNOXVILLE</v>
      </c>
      <c r="H20" t="str">
        <f>T("TN ")</f>
        <v>TN </v>
      </c>
      <c r="I20" s="1">
        <f>N(37902)</f>
        <v>37902</v>
      </c>
      <c r="J20" s="1" t="str">
        <f>T("865 545 4103")</f>
        <v>865 545 4103</v>
      </c>
      <c r="K20" s="1" t="str">
        <f>T("865 545 4111")</f>
        <v>865 545 4111</v>
      </c>
    </row>
    <row r="21" spans="1:11" ht="12.75">
      <c r="A21" s="1" t="s">
        <v>11</v>
      </c>
      <c r="B21" t="str">
        <f>T("LEXINGTON KY FIELD OFC")</f>
        <v>LEXINGTON KY FIELD OFC</v>
      </c>
      <c r="C21" t="str">
        <f t="shared" si="0"/>
        <v>DOI OFFICE OF SURFACE MINING</v>
      </c>
      <c r="D21" t="str">
        <f>T("2675 REGENCY ROAD")</f>
        <v>2675 REGENCY ROAD</v>
      </c>
      <c r="E21" t="s">
        <v>10</v>
      </c>
      <c r="F21" t="str">
        <f>T("ATTN: LINDA RAINEY")</f>
        <v>ATTN: LINDA RAINEY</v>
      </c>
      <c r="G21" t="str">
        <f>T("LEXINGTON")</f>
        <v>LEXINGTON</v>
      </c>
      <c r="H21" t="str">
        <f>T("KY ")</f>
        <v>KY </v>
      </c>
      <c r="I21" s="1">
        <f>N(40503)</f>
        <v>40503</v>
      </c>
      <c r="J21" s="1" t="str">
        <f>T("859 260 2494")</f>
        <v>859 260 2494</v>
      </c>
      <c r="K21" s="1" t="str">
        <f>T("859 260 8410")</f>
        <v>859 260 8410</v>
      </c>
    </row>
    <row r="22" spans="1:11" ht="12.75">
      <c r="A22" s="1" t="s">
        <v>11</v>
      </c>
      <c r="B22" t="str">
        <f>T("MID-CONT REGIONAL COORD CE")</f>
        <v>MID-CONT REGIONAL COORD CE</v>
      </c>
      <c r="C22" t="str">
        <f t="shared" si="0"/>
        <v>DOI OFFICE OF SURFACE MINING</v>
      </c>
      <c r="D22" t="str">
        <f>T("501 BELLE ST  RM 216")</f>
        <v>501 BELLE ST  RM 216</v>
      </c>
      <c r="E22" t="s">
        <v>10</v>
      </c>
      <c r="F22" t="str">
        <f>T("ATTN: WENDY TERNEUS")</f>
        <v>ATTN: WENDY TERNEUS</v>
      </c>
      <c r="G22" t="str">
        <f>T("ALTON")</f>
        <v>ALTON</v>
      </c>
      <c r="H22" t="str">
        <f>T("IL ")</f>
        <v>IL </v>
      </c>
      <c r="I22" s="1">
        <f>N(62002)</f>
        <v>62002</v>
      </c>
      <c r="J22" s="1" t="str">
        <f>T("618 463 6460")</f>
        <v>618 463 6460</v>
      </c>
      <c r="K22" s="1" t="str">
        <f>T("618 463 6470")</f>
        <v>618 463 6470</v>
      </c>
    </row>
    <row r="23" spans="1:11" ht="12.75">
      <c r="A23" s="1" t="s">
        <v>11</v>
      </c>
      <c r="B23" t="str">
        <f>T("WESTERN REG COORD CENTER")</f>
        <v>WESTERN REG COORD CENTER</v>
      </c>
      <c r="C23" t="str">
        <f t="shared" si="0"/>
        <v>DOI OFFICE OF SURFACE MINING</v>
      </c>
      <c r="D23" t="str">
        <f>T("1999 BROADWAY  STE 3320")</f>
        <v>1999 BROADWAY  STE 3320</v>
      </c>
      <c r="E23" t="s">
        <v>10</v>
      </c>
      <c r="F23" t="str">
        <f>T("ATTN: PEGGY GRIMM")</f>
        <v>ATTN: PEGGY GRIMM</v>
      </c>
      <c r="G23" t="str">
        <f>T("DENVER")</f>
        <v>DENVER</v>
      </c>
      <c r="H23" t="str">
        <f>T("CO ")</f>
        <v>CO </v>
      </c>
      <c r="I23" s="1">
        <f>N(80202)</f>
        <v>80202</v>
      </c>
      <c r="J23" s="1" t="str">
        <f>T("303 844 1400")</f>
        <v>303 844 1400</v>
      </c>
      <c r="K23" s="1" t="str">
        <f>T("303 844 1522")</f>
        <v>303 844 1522</v>
      </c>
    </row>
    <row r="24" spans="1:11" ht="12.75">
      <c r="A24" s="1" t="s">
        <v>11</v>
      </c>
      <c r="B24" t="str">
        <f>T("OFC OF TECHNOLOGY TRANSFER")</f>
        <v>OFC OF TECHNOLOGY TRANSFER</v>
      </c>
      <c r="C24" t="str">
        <f t="shared" si="0"/>
        <v>DOI OFFICE OF SURFACE MINING</v>
      </c>
      <c r="D24" t="str">
        <f>T("1999 BROADWAY  STE 3320")</f>
        <v>1999 BROADWAY  STE 3320</v>
      </c>
      <c r="E24" t="s">
        <v>10</v>
      </c>
      <c r="F24" t="str">
        <f>T("ATTN: JEFFREY SAVAGE")</f>
        <v>ATTN: JEFFREY SAVAGE</v>
      </c>
      <c r="G24" t="str">
        <f>T("DENVER")</f>
        <v>DENVER</v>
      </c>
      <c r="H24" t="str">
        <f>T("CO ")</f>
        <v>CO </v>
      </c>
      <c r="I24" s="1">
        <f>N(80202)</f>
        <v>80202</v>
      </c>
      <c r="J24" s="1" t="str">
        <f>T("303 844 1400")</f>
        <v>303 844 1400</v>
      </c>
      <c r="K24" s="1" t="str">
        <f>T("303 844 1546")</f>
        <v>303 844 1546</v>
      </c>
    </row>
    <row r="25" spans="1:11" ht="12.75">
      <c r="A25" s="1" t="s">
        <v>11</v>
      </c>
      <c r="B25" t="str">
        <f>T("DIV OF PROGRAM SPT")</f>
        <v>DIV OF PROGRAM SPT</v>
      </c>
      <c r="C25" t="str">
        <f t="shared" si="0"/>
        <v>DOI OFFICE OF SURFACE MINING</v>
      </c>
      <c r="D25" t="str">
        <f>T("1999 BROADWAY  STE 3320")</f>
        <v>1999 BROADWAY  STE 3320</v>
      </c>
      <c r="E25" t="s">
        <v>10</v>
      </c>
      <c r="F25" t="str">
        <f>T("ATTN: KAREN PIERSON")</f>
        <v>ATTN: KAREN PIERSON</v>
      </c>
      <c r="G25" t="str">
        <f>T("DENVER")</f>
        <v>DENVER</v>
      </c>
      <c r="H25" t="str">
        <f>T("CO ")</f>
        <v>CO </v>
      </c>
      <c r="I25" s="1">
        <f>N(80202)</f>
        <v>80202</v>
      </c>
      <c r="J25" s="1" t="str">
        <f>T("303 844 1400")</f>
        <v>303 844 1400</v>
      </c>
      <c r="K25" s="1" t="str">
        <f>T("303 844 1538")</f>
        <v>303 844 1538</v>
      </c>
    </row>
    <row r="26" spans="1:11" ht="12.75">
      <c r="A26" s="1" t="s">
        <v>11</v>
      </c>
      <c r="B26" t="str">
        <f>T("ALBUQUERQUE NM FIELD OFC")</f>
        <v>ALBUQUERQUE NM FIELD OFC</v>
      </c>
      <c r="C26" t="str">
        <f t="shared" si="0"/>
        <v>DOI OFFICE OF SURFACE MINING</v>
      </c>
      <c r="D26" t="str">
        <f>T("505 MARQUETTE AVE  NW")</f>
        <v>505 MARQUETTE AVE  NW</v>
      </c>
      <c r="E26" t="str">
        <f>T("STE 1200")</f>
        <v>STE 1200</v>
      </c>
      <c r="F26" t="str">
        <f>T("ATTN: FRANCES RAMOS")</f>
        <v>ATTN: FRANCES RAMOS</v>
      </c>
      <c r="G26" t="str">
        <f>T("ALBUQUERQUE")</f>
        <v>ALBUQUERQUE</v>
      </c>
      <c r="H26" t="str">
        <f>T("NM ")</f>
        <v>NM </v>
      </c>
      <c r="I26" s="1">
        <f>N(87102)</f>
        <v>87102</v>
      </c>
      <c r="J26" s="1" t="str">
        <f>T("505 248 5070")</f>
        <v>505 248 5070</v>
      </c>
      <c r="K26" s="1" t="str">
        <f>T("505 248 5081")</f>
        <v>505 248 5081</v>
      </c>
    </row>
    <row r="27" spans="1:11" ht="12.75">
      <c r="A27" s="1" t="s">
        <v>11</v>
      </c>
      <c r="B27" t="str">
        <f>T("CASPER WY FIELD OFC")</f>
        <v>CASPER WY FIELD OFC</v>
      </c>
      <c r="C27" t="str">
        <f t="shared" si="0"/>
        <v>DOI OFFICE OF SURFACE MINING</v>
      </c>
      <c r="D27" t="str">
        <f>T("100 EAST   B   ST  FEDERAL BLDG")</f>
        <v>100 EAST   B   ST  FEDERAL BLDG</v>
      </c>
      <c r="E27" t="str">
        <f>T("ROOM 2128")</f>
        <v>ROOM 2128</v>
      </c>
      <c r="F27" t="str">
        <f>T("ATTN: DEBORAH GIOVETTE")</f>
        <v>ATTN: DEBORAH GIOVETTE</v>
      </c>
      <c r="G27" t="str">
        <f>T("CASPER")</f>
        <v>CASPER</v>
      </c>
      <c r="H27" t="str">
        <f>T("WY ")</f>
        <v>WY </v>
      </c>
      <c r="I27" s="1">
        <f>N(82601)</f>
        <v>82601</v>
      </c>
      <c r="J27" s="1" t="str">
        <f>T("307 261 6555")</f>
        <v>307 261 6555</v>
      </c>
      <c r="K27" s="1" t="str">
        <f>T("307 261 6552")</f>
        <v>307 261 6552</v>
      </c>
    </row>
    <row r="28" spans="1:11" ht="12.75">
      <c r="A28" s="1" t="s">
        <v>11</v>
      </c>
      <c r="B28" t="str">
        <f>T("BUDGET TEAM")</f>
        <v>BUDGET TEAM</v>
      </c>
      <c r="C28" t="str">
        <f t="shared" si="0"/>
        <v>DOI OFFICE OF SURFACE MINING</v>
      </c>
      <c r="D28" t="str">
        <f>T("1951 CONSTITUTION AVE  NW")</f>
        <v>1951 CONSTITUTION AVE  NW</v>
      </c>
      <c r="E28" t="s">
        <v>10</v>
      </c>
      <c r="F28" t="str">
        <f>T("ATTN: BLANCA LEMUS")</f>
        <v>ATTN: BLANCA LEMUS</v>
      </c>
      <c r="G28" t="str">
        <f>T("WASHINGTON")</f>
        <v>WASHINGTON</v>
      </c>
      <c r="H28" t="str">
        <f>T("DC ")</f>
        <v>DC </v>
      </c>
      <c r="I28" s="1">
        <f>N(20240)</f>
        <v>20240</v>
      </c>
      <c r="J28" s="1" t="str">
        <f>T("202 208 2678")</f>
        <v>202 208 2678</v>
      </c>
      <c r="K28" s="1" t="str">
        <f>T("202 219 3101")</f>
        <v>202 219 3101</v>
      </c>
    </row>
    <row r="29" spans="1:11" ht="12.75">
      <c r="A29" s="1" t="s">
        <v>11</v>
      </c>
      <c r="B29" t="str">
        <f>T("OFC PERSONNEL")</f>
        <v>OFC PERSONNEL</v>
      </c>
      <c r="C29" t="str">
        <f t="shared" si="0"/>
        <v>DOI OFFICE OF SURFACE MINING</v>
      </c>
      <c r="D29" t="str">
        <f>T("1951 CONSTITUTION AVE  NW")</f>
        <v>1951 CONSTITUTION AVE  NW</v>
      </c>
      <c r="E29" t="s">
        <v>10</v>
      </c>
      <c r="F29" t="str">
        <f>T("ATTN: PEGGY MORAN GICKER")</f>
        <v>ATTN: PEGGY MORAN GICKER</v>
      </c>
      <c r="G29" t="str">
        <f>T("WASHINGTON")</f>
        <v>WASHINGTON</v>
      </c>
      <c r="H29" t="str">
        <f>T("DC ")</f>
        <v>DC </v>
      </c>
      <c r="I29" s="1">
        <f>N(20240)</f>
        <v>20240</v>
      </c>
      <c r="J29" s="1" t="str">
        <f>T("202 208 2762")</f>
        <v>202 208 2762</v>
      </c>
      <c r="K29" s="1" t="str">
        <f>T("202 219 3107")</f>
        <v>202 219 3107</v>
      </c>
    </row>
    <row r="30" spans="1:11" ht="12.75">
      <c r="A30" s="1" t="s">
        <v>11</v>
      </c>
      <c r="B30" t="str">
        <f>T("OFC OF ADMIN")</f>
        <v>OFC OF ADMIN</v>
      </c>
      <c r="C30" t="str">
        <f t="shared" si="0"/>
        <v>DOI OFFICE OF SURFACE MINING</v>
      </c>
      <c r="D30" t="str">
        <f>T("1951 CONSTITUTION AVE  NW")</f>
        <v>1951 CONSTITUTION AVE  NW</v>
      </c>
      <c r="E30" t="s">
        <v>10</v>
      </c>
      <c r="F30" t="str">
        <f>T("ATTN: ALLAN DOBBINS")</f>
        <v>ATTN: ALLAN DOBBINS</v>
      </c>
      <c r="G30" t="str">
        <f>T("WASHINGTON")</f>
        <v>WASHINGTON</v>
      </c>
      <c r="H30" t="str">
        <f>T("DC ")</f>
        <v>DC </v>
      </c>
      <c r="I30" s="1">
        <f>N(20240)</f>
        <v>20240</v>
      </c>
      <c r="J30" s="1" t="str">
        <f>T("202 208 2515")</f>
        <v>202 208 2515</v>
      </c>
      <c r="K30" s="1" t="str">
        <f>T("202 219 3100")</f>
        <v>202 219 3100</v>
      </c>
    </row>
    <row r="31" spans="1:11" ht="12.75">
      <c r="A31" s="1" t="s">
        <v>11</v>
      </c>
      <c r="B31" t="str">
        <f>T("PAYMENTS TEAM")</f>
        <v>PAYMENTS TEAM</v>
      </c>
      <c r="C31" t="str">
        <f t="shared" si="0"/>
        <v>DOI OFFICE OF SURFACE MINING</v>
      </c>
      <c r="D31" t="str">
        <f>T("PO BOX 25065")</f>
        <v>PO BOX 25065</v>
      </c>
      <c r="E31" t="str">
        <f>T("BLDG 20  RM B 2005")</f>
        <v>BLDG 20  RM B 2005</v>
      </c>
      <c r="F31" t="str">
        <f>T("ATTN: LYNN JUNG")</f>
        <v>ATTN: LYNN JUNG</v>
      </c>
      <c r="G31" t="str">
        <f>T("DENVER")</f>
        <v>DENVER</v>
      </c>
      <c r="H31" t="str">
        <f>T("CO ")</f>
        <v>CO </v>
      </c>
      <c r="I31" s="1">
        <f>N(80225)</f>
        <v>80225</v>
      </c>
      <c r="J31" s="1" t="str">
        <f>T("303 236 0330")</f>
        <v>303 236 0330</v>
      </c>
      <c r="K31" s="1" t="str">
        <f>T("303 236 0340")</f>
        <v>303 236 0340</v>
      </c>
    </row>
    <row r="32" spans="1:11" ht="12.75">
      <c r="A32" s="1" t="s">
        <v>11</v>
      </c>
      <c r="B32" t="str">
        <f>T("RSC MGMT TEAM")</f>
        <v>RSC MGMT TEAM</v>
      </c>
      <c r="C32" t="str">
        <f t="shared" si="0"/>
        <v>DOI OFFICE OF SURFACE MINING</v>
      </c>
      <c r="D32" t="str">
        <f>T("1951 CONSTITUTION AVE  NW")</f>
        <v>1951 CONSTITUTION AVE  NW</v>
      </c>
      <c r="E32" t="s">
        <v>10</v>
      </c>
      <c r="F32" t="str">
        <f>T("ATTN: ANITA HONG FONG")</f>
        <v>ATTN: ANITA HONG FONG</v>
      </c>
      <c r="G32" t="str">
        <f>T("WASHINGTON")</f>
        <v>WASHINGTON</v>
      </c>
      <c r="H32" t="str">
        <f>T("DC ")</f>
        <v>DC </v>
      </c>
      <c r="I32" s="1">
        <f>N(20240)</f>
        <v>20240</v>
      </c>
      <c r="J32" s="1" t="str">
        <f>T("202 208 2508")</f>
        <v>202 208 2508</v>
      </c>
      <c r="K32" s="1" t="str">
        <f>T("202 219 3092")</f>
        <v>202 219 3092</v>
      </c>
    </row>
    <row r="33" spans="1:11" ht="12.75">
      <c r="A33" s="1" t="s">
        <v>11</v>
      </c>
      <c r="B33" t="str">
        <f>T("REGION 1 - PITTSBURGH")</f>
        <v>REGION 1 - PITTSBURGH</v>
      </c>
      <c r="C33" t="str">
        <f t="shared" si="0"/>
        <v>DOI OFFICE OF SURFACE MINING</v>
      </c>
      <c r="D33" t="str">
        <f>T("THREE PARKWAY CENTER")</f>
        <v>THREE PARKWAY CENTER</v>
      </c>
      <c r="E33" t="s">
        <v>10</v>
      </c>
      <c r="F33" t="str">
        <f>T("ATTN: FAYE CASPERSON")</f>
        <v>ATTN: FAYE CASPERSON</v>
      </c>
      <c r="G33" t="str">
        <f>T("PITTSBURGH")</f>
        <v>PITTSBURGH</v>
      </c>
      <c r="H33" t="str">
        <f>T("PA ")</f>
        <v>PA </v>
      </c>
      <c r="I33" s="1">
        <f>N(15520)</f>
        <v>15520</v>
      </c>
      <c r="J33" s="1" t="str">
        <f>T("412 937 2900")</f>
        <v>412 937 2900</v>
      </c>
      <c r="K33" s="1" t="str">
        <f>T("412 937 2920")</f>
        <v>412 937 2920</v>
      </c>
    </row>
    <row r="34" spans="1:11" ht="12.75">
      <c r="A34" s="1" t="s">
        <v>11</v>
      </c>
      <c r="B34" t="str">
        <f>T("APPLICANT VIOLATOR SYS- LEX")</f>
        <v>APPLICANT VIOLATOR SYS- LEX</v>
      </c>
      <c r="C34" t="str">
        <f t="shared" si="0"/>
        <v>DOI OFFICE OF SURFACE MINING</v>
      </c>
      <c r="D34" t="str">
        <f>T("2679 REGENCY ROAD")</f>
        <v>2679 REGENCY ROAD</v>
      </c>
      <c r="E34" t="s">
        <v>10</v>
      </c>
      <c r="F34" t="str">
        <f>T("ATTN: BONNIE EDENS")</f>
        <v>ATTN: BONNIE EDENS</v>
      </c>
      <c r="G34" t="str">
        <f>T("LEXINGTON")</f>
        <v>LEXINGTON</v>
      </c>
      <c r="H34" t="str">
        <f>T("KY ")</f>
        <v>KY </v>
      </c>
      <c r="I34" s="1">
        <f>N(40503)</f>
        <v>40503</v>
      </c>
      <c r="J34" s="1" t="str">
        <f>T("859 260 8424")</f>
        <v>859 260 8424</v>
      </c>
      <c r="K34" s="1" t="str">
        <f>T("859 260 8418")</f>
        <v>859 260 8418</v>
      </c>
    </row>
    <row r="35" spans="1:11" ht="12.75">
      <c r="A35" s="1" t="s">
        <v>11</v>
      </c>
      <c r="B35" t="str">
        <f>T("ANTHRACITE TEAM")</f>
        <v>ANTHRACITE TEAM</v>
      </c>
      <c r="C35" t="str">
        <f t="shared" si="0"/>
        <v>DOI OFFICE OF SURFACE MINING</v>
      </c>
      <c r="D35" t="str">
        <f>T("STEGMAIER BLDG  STE 308")</f>
        <v>STEGMAIER BLDG  STE 308</v>
      </c>
      <c r="E35" t="str">
        <f>T("7 N. WILKES BARRE BLVD")</f>
        <v>7 N. WILKES BARRE BLVD</v>
      </c>
      <c r="F35" t="str">
        <f>T("ATTN: MARCELLA STARR")</f>
        <v>ATTN: MARCELLA STARR</v>
      </c>
      <c r="G35" t="str">
        <f>T("WILKES BARRE")</f>
        <v>WILKES BARRE</v>
      </c>
      <c r="H35" t="str">
        <f>T("PA ")</f>
        <v>PA </v>
      </c>
      <c r="I35" s="1">
        <f>N(18702)</f>
        <v>18702</v>
      </c>
      <c r="J35" s="1" t="str">
        <f>T("570 830 1402")</f>
        <v>570 830 1402</v>
      </c>
      <c r="K35" s="1" t="str">
        <f>T("570 830 1421")</f>
        <v>570 830 1421</v>
      </c>
    </row>
    <row r="36" spans="1:11" ht="12.75">
      <c r="A36" s="1" t="s">
        <v>11</v>
      </c>
      <c r="B36" t="str">
        <f>T("APPALACHIA TEAM")</f>
        <v>APPALACHIA TEAM</v>
      </c>
      <c r="C36" t="str">
        <f t="shared" si="0"/>
        <v>DOI OFFICE OF SURFACE MINING</v>
      </c>
      <c r="D36" t="str">
        <f>T("1405 GREENUP AVE")</f>
        <v>1405 GREENUP AVE</v>
      </c>
      <c r="E36" t="str">
        <f>T("RM 224   BOX 5")</f>
        <v>RM 224   BOX 5</v>
      </c>
      <c r="F36" t="str">
        <f>T("ATTN: MARY ANN LUEKEN")</f>
        <v>ATTN: MARY ANN LUEKEN</v>
      </c>
      <c r="G36" t="str">
        <f>T("ASHLAND")</f>
        <v>ASHLAND</v>
      </c>
      <c r="H36" t="str">
        <f>T("KY ")</f>
        <v>KY </v>
      </c>
      <c r="I36" s="1">
        <f>N(41101)</f>
        <v>41101</v>
      </c>
      <c r="J36" s="1" t="str">
        <f>T("606 324 2828")</f>
        <v>606 324 2828</v>
      </c>
      <c r="K36" s="1" t="str">
        <f>T("606 324 2846")</f>
        <v>606 324 2846</v>
      </c>
    </row>
    <row r="37" spans="1:11" ht="12.75">
      <c r="A37" s="1" t="s">
        <v>11</v>
      </c>
      <c r="B37" t="str">
        <f>T("BECKLEY WV AREA OFC")</f>
        <v>BECKLEY WV AREA OFC</v>
      </c>
      <c r="C37" t="str">
        <f t="shared" si="0"/>
        <v>DOI OFFICE OF SURFACE MINING</v>
      </c>
      <c r="D37" t="str">
        <f>T("313 HARPER PARK DR.")</f>
        <v>313 HARPER PARK DR.</v>
      </c>
      <c r="E37" t="s">
        <v>10</v>
      </c>
      <c r="F37" t="str">
        <f>T("ATTN: LAURA CRAIG")</f>
        <v>ATTN: LAURA CRAIG</v>
      </c>
      <c r="G37" t="str">
        <f>T("BECKLEY")</f>
        <v>BECKLEY</v>
      </c>
      <c r="H37" t="str">
        <f>T("WV ")</f>
        <v>WV </v>
      </c>
      <c r="I37" s="1">
        <f>N(25801)</f>
        <v>25801</v>
      </c>
      <c r="J37" s="1" t="str">
        <f>T("304 225 5265")</f>
        <v>304 225 5265</v>
      </c>
      <c r="K37" s="1" t="str">
        <f>T("304 255 4521")</f>
        <v>304 255 4521</v>
      </c>
    </row>
    <row r="38" spans="1:11" ht="12.75">
      <c r="A38" s="1" t="s">
        <v>11</v>
      </c>
      <c r="B38" t="str">
        <f>T("JOHNSTOWN PA AREA OFC")</f>
        <v>JOHNSTOWN PA AREA OFC</v>
      </c>
      <c r="C38" t="str">
        <f t="shared" si="0"/>
        <v>DOI OFFICE OF SURFACE MINING</v>
      </c>
      <c r="D38" t="str">
        <f>T("RICHLAND PROFESSIONAL BLDG")</f>
        <v>RICHLAND PROFESSIONAL BLDG</v>
      </c>
      <c r="E38" t="str">
        <f>T("334 BLOOMFIELD ST  STE 104")</f>
        <v>334 BLOOMFIELD ST  STE 104</v>
      </c>
      <c r="F38" t="str">
        <f>T("ATTN: THOMAS CARSTENSEN")</f>
        <v>ATTN: THOMAS CARSTENSEN</v>
      </c>
      <c r="G38" t="str">
        <f>T("JOHNSTOWN")</f>
        <v>JOHNSTOWN</v>
      </c>
      <c r="H38" t="str">
        <f>T("PA ")</f>
        <v>PA </v>
      </c>
      <c r="I38" s="1">
        <f>N(15904)</f>
        <v>15904</v>
      </c>
      <c r="J38" s="1" t="str">
        <f>T("814 533 4223")</f>
        <v>814 533 4223</v>
      </c>
      <c r="K38" s="1" t="str">
        <f>T("814 533 4383")</f>
        <v>814 533 4383</v>
      </c>
    </row>
    <row r="39" spans="1:11" ht="12.75">
      <c r="A39" s="1" t="s">
        <v>11</v>
      </c>
      <c r="B39" t="str">
        <f>T("LONDON KY AREA OFC")</f>
        <v>LONDON KY AREA OFC</v>
      </c>
      <c r="C39" t="str">
        <f t="shared" si="0"/>
        <v>DOI OFFICE OF SURFACE MINING</v>
      </c>
      <c r="D39" t="str">
        <f>T("BOX 1048")</f>
        <v>BOX 1048</v>
      </c>
      <c r="E39" t="s">
        <v>10</v>
      </c>
      <c r="F39" t="str">
        <f>T("ATTN:PATRICIA BEATTY")</f>
        <v>ATTN:PATRICIA BEATTY</v>
      </c>
      <c r="G39" t="str">
        <f>T("LONDON")</f>
        <v>LONDON</v>
      </c>
      <c r="H39" t="str">
        <f>T("KY ")</f>
        <v>KY </v>
      </c>
      <c r="I39" s="1">
        <f>N(40741)</f>
        <v>40741</v>
      </c>
      <c r="J39" s="1" t="str">
        <f>T("606 878 6440")</f>
        <v>606 878 6440</v>
      </c>
      <c r="K39" s="1" t="str">
        <f>T("606 878 6049")</f>
        <v>606 878 6049</v>
      </c>
    </row>
    <row r="40" spans="1:11" ht="12.75">
      <c r="A40" s="1" t="s">
        <v>11</v>
      </c>
      <c r="B40" t="str">
        <f>T("DENVER FIELD DIV")</f>
        <v>DENVER FIELD DIV</v>
      </c>
      <c r="C40" t="str">
        <f t="shared" si="0"/>
        <v>DOI OFFICE OF SURFACE MINING</v>
      </c>
      <c r="D40" t="str">
        <f>T("1999 BROADWAY  STE 3320")</f>
        <v>1999 BROADWAY  STE 3320</v>
      </c>
      <c r="E40" t="s">
        <v>10</v>
      </c>
      <c r="F40" t="str">
        <f>T("ATTN: JEANETTE HOWARD")</f>
        <v>ATTN: JEANETTE HOWARD</v>
      </c>
      <c r="G40" t="str">
        <f>T("DENVER")</f>
        <v>DENVER</v>
      </c>
      <c r="H40" t="str">
        <f>T("CO ")</f>
        <v>CO </v>
      </c>
      <c r="I40" s="1">
        <f>N(80202)</f>
        <v>80202</v>
      </c>
      <c r="J40" s="1" t="str">
        <f>T("303 844 1400")</f>
        <v>303 844 1400</v>
      </c>
      <c r="K40" s="1" t="str">
        <f>T("303 844 1545")</f>
        <v>303 844 1545</v>
      </c>
    </row>
    <row r="41" spans="1:11" ht="12.75">
      <c r="A41" s="1" t="s">
        <v>11</v>
      </c>
      <c r="B41" t="str">
        <f>T("OLYMPIA WA OFC")</f>
        <v>OLYMPIA WA OFC</v>
      </c>
      <c r="C41" t="str">
        <f t="shared" si="0"/>
        <v>DOI OFFICE OF SURFACE MINING</v>
      </c>
      <c r="D41" t="str">
        <f>T("EVERGREEN PLAZA BLDG")</f>
        <v>EVERGREEN PLAZA BLDG</v>
      </c>
      <c r="E41" t="str">
        <f>T("711 S. CAPITOL WAY  STE 703")</f>
        <v>711 S. CAPITOL WAY  STE 703</v>
      </c>
      <c r="F41" t="str">
        <f>T("ATTN: GLENN WAUGH")</f>
        <v>ATTN: GLENN WAUGH</v>
      </c>
      <c r="G41" t="str">
        <f>T("OLYMPIA")</f>
        <v>OLYMPIA</v>
      </c>
      <c r="H41" t="str">
        <f>T("WA ")</f>
        <v>WA </v>
      </c>
      <c r="I41" s="1">
        <f>N(98501)</f>
        <v>98501</v>
      </c>
      <c r="J41" s="1" t="str">
        <f>T("360 753 9538")</f>
        <v>360 753 9538</v>
      </c>
      <c r="K41" s="1" t="str">
        <f>T("360 753 9031")</f>
        <v>360 753 9031</v>
      </c>
    </row>
    <row r="42" spans="1:11" ht="12.75">
      <c r="A42" s="1" t="s">
        <v>11</v>
      </c>
      <c r="B42" t="str">
        <f>T("REGION 2 - LEXINGTON")</f>
        <v>REGION 2 - LEXINGTON</v>
      </c>
      <c r="C42" t="str">
        <f t="shared" si="0"/>
        <v>DOI OFFICE OF SURFACE MINING</v>
      </c>
      <c r="D42" t="str">
        <f>T("2677 REGENCY ROAD")</f>
        <v>2677 REGENCY ROAD</v>
      </c>
      <c r="E42" t="s">
        <v>10</v>
      </c>
      <c r="F42" t="str">
        <f>T("ATTN: ELIZABETH COX")</f>
        <v>ATTN: ELIZABETH COX</v>
      </c>
      <c r="G42" t="str">
        <f>T("LEXINGTON")</f>
        <v>LEXINGTON</v>
      </c>
      <c r="H42" t="str">
        <f>T("KY ")</f>
        <v>KY </v>
      </c>
      <c r="I42" s="1">
        <f>N(40503)</f>
        <v>40503</v>
      </c>
      <c r="J42" s="1" t="str">
        <f>T("859 260 8413")</f>
        <v>859 260 8413</v>
      </c>
      <c r="K42" s="1" t="str">
        <f>T("859 260 8415")</f>
        <v>859 260 8415</v>
      </c>
    </row>
    <row r="43" spans="1:11" ht="12.75">
      <c r="A43" s="1" t="s">
        <v>11</v>
      </c>
      <c r="B43" t="str">
        <f>T("BIRMINGHAM AL FIELD OFC")</f>
        <v>BIRMINGHAM AL FIELD OFC</v>
      </c>
      <c r="C43" t="str">
        <f>T("BUILDING 20 RM B 2005")</f>
        <v>BUILDING 20 RM B 2005</v>
      </c>
      <c r="D43" t="str">
        <f>T("DENVER FEDERAL CENTER")</f>
        <v>DENVER FEDERAL CENTER</v>
      </c>
      <c r="E43" t="str">
        <f>T("PO BOX 25065")</f>
        <v>PO BOX 25065</v>
      </c>
      <c r="F43" t="s">
        <v>10</v>
      </c>
      <c r="G43" t="str">
        <f>T("DENVER")</f>
        <v>DENVER</v>
      </c>
      <c r="H43" t="str">
        <f>T("CO ")</f>
        <v>CO </v>
      </c>
      <c r="I43" s="1">
        <f>N(802250065)</f>
        <v>802250065</v>
      </c>
      <c r="J43" s="1">
        <f>N(3032360330)</f>
        <v>3032360330</v>
      </c>
      <c r="K43" s="1" t="s">
        <v>10</v>
      </c>
    </row>
    <row r="44" spans="1:11" ht="12.75">
      <c r="A44" s="1" t="s">
        <v>11</v>
      </c>
      <c r="B44" t="str">
        <f>T("INDIANAPOLIS IN FIELD OFC")</f>
        <v>INDIANAPOLIS IN FIELD OFC</v>
      </c>
      <c r="C44" t="str">
        <f>T("BUILDING 20 RM B 2005")</f>
        <v>BUILDING 20 RM B 2005</v>
      </c>
      <c r="D44" t="str">
        <f>T("DENVER FEDERAL CENTER")</f>
        <v>DENVER FEDERAL CENTER</v>
      </c>
      <c r="E44" t="str">
        <f>T("PO BOX 25065")</f>
        <v>PO BOX 25065</v>
      </c>
      <c r="F44" t="s">
        <v>10</v>
      </c>
      <c r="G44" t="str">
        <f>T("DENVER")</f>
        <v>DENVER</v>
      </c>
      <c r="H44" t="str">
        <f>T("CO ")</f>
        <v>CO </v>
      </c>
      <c r="I44" s="1">
        <f>N(802250065)</f>
        <v>802250065</v>
      </c>
      <c r="J44" s="1">
        <f>N(3032360330)</f>
        <v>3032360330</v>
      </c>
      <c r="K44" s="1" t="s">
        <v>10</v>
      </c>
    </row>
    <row r="45" spans="1:11" ht="12.75">
      <c r="A45" s="1" t="s">
        <v>11</v>
      </c>
      <c r="B45" t="str">
        <f>T("TULSA OK FIELD OFFICE")</f>
        <v>TULSA OK FIELD OFFICE</v>
      </c>
      <c r="C45" t="str">
        <f>T("BUILDING 20 RM B 2005")</f>
        <v>BUILDING 20 RM B 2005</v>
      </c>
      <c r="D45" t="str">
        <f>T("DENVER FEDERAL CENTER")</f>
        <v>DENVER FEDERAL CENTER</v>
      </c>
      <c r="E45" t="str">
        <f>T("PO BOX 25065")</f>
        <v>PO BOX 25065</v>
      </c>
      <c r="F45" t="s">
        <v>10</v>
      </c>
      <c r="G45" t="str">
        <f>T("DENVER")</f>
        <v>DENVER</v>
      </c>
      <c r="H45" t="str">
        <f>T("CO ")</f>
        <v>CO </v>
      </c>
      <c r="I45" s="1">
        <f>N(802250065)</f>
        <v>802250065</v>
      </c>
      <c r="J45" s="1">
        <f>N(3032360330)</f>
        <v>3032360330</v>
      </c>
      <c r="K45" s="1" t="s">
        <v>10</v>
      </c>
    </row>
    <row r="46" spans="1:11" ht="12.75">
      <c r="A46" s="1" t="s">
        <v>11</v>
      </c>
      <c r="B46" t="str">
        <f>T("SOUTHWEST BRANCH")</f>
        <v>SOUTHWEST BRANCH</v>
      </c>
      <c r="C46" t="str">
        <f>T("DENVER FEDERAL CENTER")</f>
        <v>DENVER FEDERAL CENTER</v>
      </c>
      <c r="D46" t="str">
        <f>T("PO BOX 25065 BLDG 20 RM B 2005")</f>
        <v>PO BOX 25065 BLDG 20 RM B 2005</v>
      </c>
      <c r="E46" t="s">
        <v>10</v>
      </c>
      <c r="F46" t="s">
        <v>10</v>
      </c>
      <c r="G46" t="str">
        <f>T("DENVER")</f>
        <v>DENVER</v>
      </c>
      <c r="H46" t="str">
        <f>T("CO ")</f>
        <v>CO </v>
      </c>
      <c r="I46" s="1">
        <f>N(802250065)</f>
        <v>802250065</v>
      </c>
      <c r="J46" s="1">
        <f>N(303236330)</f>
        <v>303236330</v>
      </c>
      <c r="K46" s="1" t="s">
        <v>10</v>
      </c>
    </row>
    <row r="47" ht="12.75">
      <c r="A47" s="1"/>
    </row>
    <row r="48" ht="12.75">
      <c r="A48" s="1"/>
    </row>
    <row r="49" ht="12.75">
      <c r="A49" s="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Department of the Interior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Cjmacarthur</dc:creator>
  <cp:keywords/>
  <dc:description/>
  <cp:lastModifiedBy>Cjmacarthur</cp:lastModifiedBy>
  <dcterms:created xsi:type="dcterms:W3CDTF">2007-04-30T18:56:28Z</dcterms:created>
  <dcterms:modified xsi:type="dcterms:W3CDTF">2007-05-01T18:12:57Z</dcterms:modified>
  <cp:category/>
  <cp:version/>
  <cp:contentType/>
  <cp:contentStatus/>
</cp:coreProperties>
</file>