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1760" activeTab="0"/>
  </bookViews>
  <sheets>
    <sheet name="Total - Table 1" sheetId="1" r:id="rId1"/>
    <sheet name="Conventional - Table 2" sheetId="2" r:id="rId2"/>
    <sheet name="Government -- Table 3" sheetId="3" r:id="rId3"/>
  </sheets>
  <externalReferences>
    <externalReference r:id="rId6"/>
  </externalReferences>
  <definedNames/>
  <calcPr fullCalcOnLoad="1" iterate="1" iterateCount="1" iterateDelta="0.001"/>
</workbook>
</file>

<file path=xl/sharedStrings.xml><?xml version="1.0" encoding="utf-8"?>
<sst xmlns="http://schemas.openxmlformats.org/spreadsheetml/2006/main" count="48" uniqueCount="39">
  <si>
    <t>Table 1</t>
  </si>
  <si>
    <t>Conventional and Government-Backed Mortgages, by Loan Type</t>
  </si>
  <si>
    <t>($ Millions)</t>
  </si>
  <si>
    <t>Single-Family Mortgages</t>
  </si>
  <si>
    <t>Single-Family ARMs</t>
  </si>
  <si>
    <t>Single-Family FRMs</t>
  </si>
  <si>
    <r>
      <t>Conventional</t>
    </r>
    <r>
      <rPr>
        <b/>
        <sz val="10"/>
        <rFont val="Arial"/>
        <family val="2"/>
      </rPr>
      <t xml:space="preserve"> </t>
    </r>
  </si>
  <si>
    <t>Conventional ARMs</t>
  </si>
  <si>
    <t>Conventional FRMs</t>
  </si>
  <si>
    <t>Government-Backed</t>
  </si>
  <si>
    <t>Government-Backed ARMs</t>
  </si>
  <si>
    <t>Government-Backed FRMs</t>
  </si>
  <si>
    <t xml:space="preserve"> </t>
  </si>
  <si>
    <t>Source:</t>
  </si>
  <si>
    <t>Table 2</t>
  </si>
  <si>
    <t>Originations of Conventional Single-Family Mortgages, 1990 - 2007:</t>
  </si>
  <si>
    <t>Jumbo and Non-Jumbo Mortgages, by Loan Type</t>
  </si>
  <si>
    <t>Conventional Mortgages</t>
  </si>
  <si>
    <t>Non-Jumbo</t>
  </si>
  <si>
    <t>Non-Jumbo ARMs</t>
  </si>
  <si>
    <t>Non-Jumbo FRMs</t>
  </si>
  <si>
    <t>Jumbo</t>
  </si>
  <si>
    <t>Jumbo ARMs</t>
  </si>
  <si>
    <t>Jumbo FRMs</t>
  </si>
  <si>
    <t>Table 3</t>
  </si>
  <si>
    <t>Originations of Government-Backed Single-Family Mortgages, 1990-2007:</t>
  </si>
  <si>
    <t>FHA-Insured and VA- and RHS-Guaranteed, By Loan Type</t>
  </si>
  <si>
    <t>Government-Backed Single-Family Mortgages</t>
  </si>
  <si>
    <t>FHA-Insured Single-Family Mortgages</t>
  </si>
  <si>
    <t>FHA-Insured ARMs</t>
  </si>
  <si>
    <t>FHA-Insured FRMs</t>
  </si>
  <si>
    <t>VA-Guaranteed Single-Family Mortgages</t>
  </si>
  <si>
    <t>VA-Guaranteed ARMs</t>
  </si>
  <si>
    <t>VA-Guaranteed FRMs</t>
  </si>
  <si>
    <t>RHS-Guaranteed FRMs</t>
  </si>
  <si>
    <r>
      <t xml:space="preserve">OFHEO based on data from the Federal Housing Administration (FHA), the Department of Veterans Affairs (VA), and the Rural Housing Service (RHS).  For an explanation of the methodology used to develop the estimates, see: Pafenberg, F. (2005) </t>
    </r>
    <r>
      <rPr>
        <b/>
        <i/>
        <sz val="10"/>
        <rFont val="Arial"/>
        <family val="2"/>
      </rPr>
      <t>Single-Family Mortgages Originated and Outstanding:  1990 – 2004</t>
    </r>
    <r>
      <rPr>
        <b/>
        <sz val="10"/>
        <rFont val="Arial"/>
        <family val="2"/>
      </rPr>
      <t>.</t>
    </r>
  </si>
  <si>
    <t>Originations of Single-Family Mortgages, 1990 - 2007:</t>
  </si>
  <si>
    <r>
      <t xml:space="preserve">OFHEO based on data from the Department of Housing and Urban Development, the Federal Housing Finance Board, the Federal Housing Administration (FHA), the Department of Veterans Affairs (VA), the Rural Housing Service (RHS), and Inside Mortgage Finance Publications.  For an explanation of the methodology used to develop the estimates, see: Pafenberg, F. (2005) </t>
    </r>
    <r>
      <rPr>
        <b/>
        <i/>
        <sz val="10"/>
        <rFont val="Arial"/>
        <family val="2"/>
      </rPr>
      <t>Single-Family Mortgages Originated and Outstanding:  1990 – 2004.</t>
    </r>
    <r>
      <rPr>
        <b/>
        <sz val="10"/>
        <rFont val="Arial"/>
        <family val="2"/>
      </rPr>
      <t xml:space="preserve"> For an update of certain of the assumptions made in that paper, see </t>
    </r>
    <r>
      <rPr>
        <b/>
        <sz val="10"/>
        <color indexed="12"/>
        <rFont val="Arial"/>
        <family val="2"/>
      </rPr>
      <t>http://www.ofheo.gov/media/updatedassumptions07032908.pdf.</t>
    </r>
  </si>
  <si>
    <r>
      <t xml:space="preserve">OFHEO based on data from the Department of Housing and Urban Development, the Federal Housing Finance Board, the Federal Housing Administration (FHA), the Department of Veterans Affairs (VA), the Rural Housing Service (RHS), and Inside Mortgage Finance Publications.  For an explanation of the methodology used to develop the estimates, see: Pafenberg, F. (2005) </t>
    </r>
    <r>
      <rPr>
        <b/>
        <i/>
        <sz val="10"/>
        <rFont val="Arial"/>
        <family val="2"/>
      </rPr>
      <t>Single-Family Mortgages Originated and Outstanding:  1990 – 2004</t>
    </r>
    <r>
      <rPr>
        <b/>
        <sz val="10"/>
        <rFont val="Arial"/>
        <family val="2"/>
      </rPr>
      <t xml:space="preserve">.  For an update of certain of the assumptions made in that paper, see </t>
    </r>
    <r>
      <rPr>
        <b/>
        <sz val="10"/>
        <color indexed="12"/>
        <rFont val="Arial"/>
        <family val="2"/>
      </rPr>
      <t>http://www.ofheo.gov/media/updatedassumptions07032908.pdf.</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</si>
</sst>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8">
    <font>
      <sz val="10"/>
      <name val="Arial"/>
      <family val="0"/>
    </font>
    <font>
      <b/>
      <sz val="14"/>
      <name val="Arial"/>
      <family val="2"/>
    </font>
    <font>
      <b/>
      <sz val="12"/>
      <name val="Arial"/>
      <family val="2"/>
    </font>
    <font>
      <b/>
      <sz val="10"/>
      <name val="Arial"/>
      <family val="2"/>
    </font>
    <font>
      <b/>
      <sz val="10"/>
      <color indexed="8"/>
      <name val="Arial"/>
      <family val="2"/>
    </font>
    <font>
      <b/>
      <i/>
      <sz val="10"/>
      <name val="Arial"/>
      <family val="2"/>
    </font>
    <font>
      <b/>
      <sz val="10"/>
      <color indexed="12"/>
      <name val="Arial"/>
      <family val="2"/>
    </font>
    <font>
      <u val="single"/>
      <sz val="10"/>
      <color indexed="12"/>
      <name val="Arial"/>
      <family val="0"/>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3" fillId="0" borderId="1" xfId="0" applyFont="1" applyFill="1" applyBorder="1" applyAlignment="1">
      <alignment horizontal="center"/>
    </xf>
    <xf numFmtId="164" fontId="3" fillId="0" borderId="1" xfId="0" applyNumberFormat="1" applyFont="1" applyFill="1" applyBorder="1" applyAlignment="1">
      <alignment horizontal="center" wrapText="1"/>
    </xf>
    <xf numFmtId="0" fontId="3" fillId="0" borderId="0" xfId="0" applyFont="1" applyFill="1" applyAlignment="1">
      <alignment horizontal="center"/>
    </xf>
    <xf numFmtId="164" fontId="3" fillId="0" borderId="0" xfId="0" applyNumberFormat="1" applyFont="1" applyFill="1" applyAlignment="1">
      <alignment horizontal="center"/>
    </xf>
    <xf numFmtId="164" fontId="4" fillId="0" borderId="0" xfId="0" applyNumberFormat="1"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left" vertical="top"/>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xf>
    <xf numFmtId="0" fontId="0" fillId="0" borderId="1" xfId="0" applyBorder="1" applyAlignment="1">
      <alignment/>
    </xf>
    <xf numFmtId="0" fontId="3" fillId="0" borderId="1" xfId="0" applyFont="1" applyBorder="1" applyAlignment="1">
      <alignment horizontal="center" wrapText="1"/>
    </xf>
    <xf numFmtId="0" fontId="3" fillId="0" borderId="0" xfId="0" applyFont="1" applyAlignment="1">
      <alignment horizontal="left" vertical="top"/>
    </xf>
    <xf numFmtId="0" fontId="3" fillId="0" borderId="0" xfId="0" applyFont="1" applyAlignment="1">
      <alignment horizontal="left" vertical="top" wrapText="1"/>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shrinkToFit="1"/>
    </xf>
    <xf numFmtId="0" fontId="2" fillId="0" borderId="0" xfId="0" applyFont="1" applyFill="1" applyBorder="1" applyAlignment="1">
      <alignment horizontal="center"/>
    </xf>
    <xf numFmtId="164" fontId="1" fillId="0" borderId="0" xfId="0" applyNumberFormat="1" applyFont="1" applyFill="1" applyAlignment="1">
      <alignment horizontal="center"/>
    </xf>
    <xf numFmtId="164" fontId="2" fillId="0" borderId="0" xfId="0" applyNumberFormat="1" applyFont="1" applyFill="1" applyAlignment="1">
      <alignment horizontal="center"/>
    </xf>
    <xf numFmtId="0" fontId="2"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akroune\Local%20Settings\Temporary%20Internet%20Files\OLK7\SF%20Mortgage%20Originations%201990-2007%20032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Conventional"/>
      <sheetName val="Government"/>
    </sheetNames>
    <sheetDataSet>
      <sheetData sheetId="0">
        <row r="10">
          <cell r="E10">
            <v>380513.253793</v>
          </cell>
        </row>
        <row r="11">
          <cell r="E11">
            <v>498482.141099</v>
          </cell>
        </row>
        <row r="12">
          <cell r="E12">
            <v>828766.692471</v>
          </cell>
        </row>
        <row r="13">
          <cell r="E13">
            <v>925008.644661</v>
          </cell>
        </row>
        <row r="14">
          <cell r="E14">
            <v>630767.29813</v>
          </cell>
        </row>
        <row r="15">
          <cell r="E15">
            <v>568393.722126</v>
          </cell>
        </row>
        <row r="16">
          <cell r="E16">
            <v>678414.122182</v>
          </cell>
        </row>
        <row r="17">
          <cell r="E17">
            <v>755477.536503</v>
          </cell>
        </row>
        <row r="18">
          <cell r="E18">
            <v>1301470.368417</v>
          </cell>
        </row>
        <row r="19">
          <cell r="E19">
            <v>1134303.648862</v>
          </cell>
        </row>
        <row r="20">
          <cell r="E20">
            <v>929094.438482</v>
          </cell>
        </row>
        <row r="21">
          <cell r="E21">
            <v>2044185.606644</v>
          </cell>
        </row>
        <row r="22">
          <cell r="E22">
            <v>2696939.390786</v>
          </cell>
        </row>
        <row r="23">
          <cell r="E23">
            <v>3710699.225181</v>
          </cell>
        </row>
        <row r="24">
          <cell r="E24">
            <v>2787436.672018</v>
          </cell>
        </row>
        <row r="25">
          <cell r="E25">
            <v>3032879.40637513</v>
          </cell>
        </row>
        <row r="26">
          <cell r="E26">
            <v>2895378</v>
          </cell>
        </row>
      </sheetData>
      <sheetData sheetId="2">
        <row r="10">
          <cell r="B10">
            <v>77926.746207</v>
          </cell>
          <cell r="C10">
            <v>609.069609</v>
          </cell>
          <cell r="D10">
            <v>77317.676598</v>
          </cell>
        </row>
        <row r="11">
          <cell r="B11">
            <v>63591.858901</v>
          </cell>
          <cell r="C11">
            <v>2805.207312</v>
          </cell>
          <cell r="D11">
            <v>60786.651589</v>
          </cell>
        </row>
        <row r="12">
          <cell r="B12">
            <v>64899.307529</v>
          </cell>
          <cell r="C12">
            <v>8903.896674</v>
          </cell>
          <cell r="D12">
            <v>55995.410855</v>
          </cell>
        </row>
        <row r="13">
          <cell r="B13">
            <v>94852.355339</v>
          </cell>
          <cell r="C13">
            <v>14015.940786</v>
          </cell>
          <cell r="D13">
            <v>80836.41455300001</v>
          </cell>
        </row>
        <row r="14">
          <cell r="B14">
            <v>142353.70187</v>
          </cell>
          <cell r="C14">
            <v>26933.09554</v>
          </cell>
          <cell r="D14">
            <v>115420.60633</v>
          </cell>
        </row>
        <row r="15">
          <cell r="B15">
            <v>71036.27787399999</v>
          </cell>
          <cell r="C15">
            <v>18644.7805</v>
          </cell>
          <cell r="D15">
            <v>52391.497374</v>
          </cell>
        </row>
        <row r="16">
          <cell r="B16">
            <v>106914.87781800001</v>
          </cell>
          <cell r="C16">
            <v>21080.840235</v>
          </cell>
          <cell r="D16">
            <v>85834.03758300001</v>
          </cell>
        </row>
        <row r="17">
          <cell r="B17">
            <v>103642.463497</v>
          </cell>
          <cell r="C17">
            <v>27291.678291</v>
          </cell>
          <cell r="D17">
            <v>76350.785206</v>
          </cell>
        </row>
        <row r="18">
          <cell r="B18">
            <v>148529.631583</v>
          </cell>
          <cell r="C18">
            <v>11636.059014</v>
          </cell>
          <cell r="D18">
            <v>136893.572569</v>
          </cell>
        </row>
        <row r="19">
          <cell r="B19">
            <v>175696.351138</v>
          </cell>
          <cell r="C19">
            <v>8457.661993</v>
          </cell>
          <cell r="D19">
            <v>167238.689145</v>
          </cell>
        </row>
        <row r="20">
          <cell r="B20">
            <v>118905.56151799999</v>
          </cell>
          <cell r="C20">
            <v>9497.335643</v>
          </cell>
          <cell r="D20">
            <v>109408.22587499999</v>
          </cell>
        </row>
        <row r="21">
          <cell r="B21">
            <v>170814.39335600002</v>
          </cell>
          <cell r="C21">
            <v>4286.197099</v>
          </cell>
          <cell r="D21">
            <v>166528.196257</v>
          </cell>
        </row>
        <row r="22">
          <cell r="B22">
            <v>188060.60921399997</v>
          </cell>
          <cell r="C22">
            <v>13788.558888</v>
          </cell>
          <cell r="D22">
            <v>174272.05032599997</v>
          </cell>
        </row>
        <row r="23">
          <cell r="B23">
            <v>234300.77481899998</v>
          </cell>
          <cell r="C23">
            <v>14728.710631</v>
          </cell>
          <cell r="D23">
            <v>219572.064188</v>
          </cell>
        </row>
        <row r="24">
          <cell r="B24">
            <v>132563.32798200002</v>
          </cell>
          <cell r="C24">
            <v>20555.863856</v>
          </cell>
          <cell r="D24">
            <v>112007.464126</v>
          </cell>
        </row>
        <row r="25">
          <cell r="B25">
            <v>87120.59362487</v>
          </cell>
          <cell r="C25">
            <v>7606.8435979999995</v>
          </cell>
          <cell r="D25">
            <v>79513.75002687001</v>
          </cell>
        </row>
        <row r="26">
          <cell r="B26">
            <v>84622</v>
          </cell>
          <cell r="C26">
            <v>2005</v>
          </cell>
          <cell r="D26">
            <v>82617</v>
          </cell>
        </row>
        <row r="27">
          <cell r="B27">
            <v>99028</v>
          </cell>
          <cell r="C27">
            <v>1332</v>
          </cell>
          <cell r="D27">
            <v>97696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J29"/>
  <sheetViews>
    <sheetView tabSelected="1" workbookViewId="0" topLeftCell="A1">
      <selection activeCell="D30" sqref="D30"/>
    </sheetView>
  </sheetViews>
  <sheetFormatPr defaultColWidth="9.140625" defaultRowHeight="12.75"/>
  <cols>
    <col min="2" max="2" width="12.57421875" style="0" customWidth="1"/>
    <col min="3" max="3" width="10.7109375" style="0" customWidth="1"/>
    <col min="4" max="4" width="12.28125" style="0" customWidth="1"/>
    <col min="5" max="5" width="12.8515625" style="0" customWidth="1"/>
    <col min="6" max="6" width="12.7109375" style="0" customWidth="1"/>
    <col min="7" max="7" width="13.8515625" style="0" customWidth="1"/>
    <col min="8" max="8" width="12.28125" style="0" customWidth="1"/>
    <col min="9" max="9" width="12.57421875" style="0" customWidth="1"/>
    <col min="10" max="10" width="12.00390625" style="0" customWidth="1"/>
  </cols>
  <sheetData>
    <row r="5" spans="1:10" ht="18">
      <c r="A5" s="15" t="s">
        <v>0</v>
      </c>
      <c r="B5" s="15"/>
      <c r="C5" s="15"/>
      <c r="D5" s="15"/>
      <c r="E5" s="15"/>
      <c r="F5" s="15"/>
      <c r="G5" s="15"/>
      <c r="H5" s="15"/>
      <c r="I5" s="15"/>
      <c r="J5" s="15"/>
    </row>
    <row r="6" spans="1:10" ht="18">
      <c r="A6" s="16" t="s">
        <v>36</v>
      </c>
      <c r="B6" s="16"/>
      <c r="C6" s="16"/>
      <c r="D6" s="16"/>
      <c r="E6" s="16"/>
      <c r="F6" s="16"/>
      <c r="G6" s="16"/>
      <c r="H6" s="16"/>
      <c r="I6" s="16"/>
      <c r="J6" s="16"/>
    </row>
    <row r="7" spans="1:10" ht="18">
      <c r="A7" s="17" t="s">
        <v>1</v>
      </c>
      <c r="B7" s="17"/>
      <c r="C7" s="17"/>
      <c r="D7" s="17"/>
      <c r="E7" s="17"/>
      <c r="F7" s="17"/>
      <c r="G7" s="17"/>
      <c r="H7" s="17"/>
      <c r="I7" s="17"/>
      <c r="J7" s="17"/>
    </row>
    <row r="8" spans="1:10" ht="15.75">
      <c r="A8" s="18" t="s">
        <v>2</v>
      </c>
      <c r="B8" s="18"/>
      <c r="C8" s="18"/>
      <c r="D8" s="18"/>
      <c r="E8" s="18"/>
      <c r="F8" s="18"/>
      <c r="G8" s="18"/>
      <c r="H8" s="18"/>
      <c r="I8" s="18"/>
      <c r="J8" s="18"/>
    </row>
    <row r="9" spans="1:10" ht="38.25">
      <c r="A9" s="1"/>
      <c r="B9" s="2" t="s">
        <v>3</v>
      </c>
      <c r="C9" s="2" t="s">
        <v>4</v>
      </c>
      <c r="D9" s="2" t="s">
        <v>5</v>
      </c>
      <c r="E9" s="2" t="s">
        <v>6</v>
      </c>
      <c r="F9" s="2" t="s">
        <v>7</v>
      </c>
      <c r="G9" s="2" t="s">
        <v>8</v>
      </c>
      <c r="H9" s="2" t="s">
        <v>9</v>
      </c>
      <c r="I9" s="2" t="s">
        <v>10</v>
      </c>
      <c r="J9" s="2" t="s">
        <v>11</v>
      </c>
    </row>
    <row r="10" spans="1:10" ht="12.75">
      <c r="A10" s="3">
        <v>1990</v>
      </c>
      <c r="B10" s="4">
        <v>458440</v>
      </c>
      <c r="C10" s="4">
        <f>F10+I10</f>
        <v>127640.37528176271</v>
      </c>
      <c r="D10" s="4">
        <f>G10+J10</f>
        <v>330799.6247182373</v>
      </c>
      <c r="E10" s="4">
        <v>380513.253793</v>
      </c>
      <c r="F10" s="4">
        <v>127031.30567276271</v>
      </c>
      <c r="G10" s="4">
        <v>253481.9481202373</v>
      </c>
      <c r="H10" s="4">
        <f>'[1]Government'!B10</f>
        <v>77926.746207</v>
      </c>
      <c r="I10" s="4">
        <f>'[1]Government'!C10</f>
        <v>609.069609</v>
      </c>
      <c r="J10" s="4">
        <f>'[1]Government'!D10</f>
        <v>77317.676598</v>
      </c>
    </row>
    <row r="11" spans="1:10" ht="12.75">
      <c r="A11" s="3">
        <v>1991</v>
      </c>
      <c r="B11" s="4">
        <v>562074</v>
      </c>
      <c r="C11" s="4">
        <f aca="true" t="shared" si="0" ref="C11:D27">F11+I11</f>
        <v>135015.1331849823</v>
      </c>
      <c r="D11" s="4">
        <f t="shared" si="0"/>
        <v>427058.8668150177</v>
      </c>
      <c r="E11" s="4">
        <v>498482.141099</v>
      </c>
      <c r="F11" s="4">
        <v>132209.92587298228</v>
      </c>
      <c r="G11" s="4">
        <v>366272.2152260177</v>
      </c>
      <c r="H11" s="4">
        <f>'[1]Government'!B11</f>
        <v>63591.858901</v>
      </c>
      <c r="I11" s="4">
        <f>'[1]Government'!C11</f>
        <v>2805.207312</v>
      </c>
      <c r="J11" s="4">
        <f>'[1]Government'!D11</f>
        <v>60786.651589</v>
      </c>
    </row>
    <row r="12" spans="1:10" ht="12.75">
      <c r="A12" s="3">
        <v>1992</v>
      </c>
      <c r="B12" s="4">
        <v>893666</v>
      </c>
      <c r="C12" s="4">
        <f t="shared" si="0"/>
        <v>204721.575704278</v>
      </c>
      <c r="D12" s="4">
        <f t="shared" si="0"/>
        <v>688944.4242957219</v>
      </c>
      <c r="E12" s="4">
        <v>828766.692471</v>
      </c>
      <c r="F12" s="4">
        <v>195817.679030278</v>
      </c>
      <c r="G12" s="4">
        <v>632949.0134407219</v>
      </c>
      <c r="H12" s="4">
        <f>'[1]Government'!B12</f>
        <v>64899.307529</v>
      </c>
      <c r="I12" s="4">
        <f>'[1]Government'!C12</f>
        <v>8903.896674</v>
      </c>
      <c r="J12" s="4">
        <f>'[1]Government'!D12</f>
        <v>55995.410855</v>
      </c>
    </row>
    <row r="13" spans="1:10" ht="12.75">
      <c r="A13" s="3">
        <v>1993</v>
      </c>
      <c r="B13" s="4">
        <v>1019861</v>
      </c>
      <c r="C13" s="4">
        <f t="shared" si="0"/>
        <v>236206.71726815082</v>
      </c>
      <c r="D13" s="4">
        <f t="shared" si="0"/>
        <v>783654.2827318491</v>
      </c>
      <c r="E13" s="4">
        <v>925008.644661</v>
      </c>
      <c r="F13" s="4">
        <v>222190.77648215083</v>
      </c>
      <c r="G13" s="4">
        <v>702817.8681788491</v>
      </c>
      <c r="H13" s="4">
        <f>'[1]Government'!B13</f>
        <v>94852.355339</v>
      </c>
      <c r="I13" s="4">
        <f>'[1]Government'!C13</f>
        <v>14015.940786</v>
      </c>
      <c r="J13" s="4">
        <f>'[1]Government'!D13</f>
        <v>80836.41455300001</v>
      </c>
    </row>
    <row r="14" spans="1:10" ht="12.75">
      <c r="A14" s="3">
        <v>1994</v>
      </c>
      <c r="B14" s="4">
        <v>773121</v>
      </c>
      <c r="C14" s="4">
        <f t="shared" si="0"/>
        <v>308212.4183297072</v>
      </c>
      <c r="D14" s="4">
        <f t="shared" si="0"/>
        <v>464908.5816702929</v>
      </c>
      <c r="E14" s="4">
        <v>630767.29813</v>
      </c>
      <c r="F14" s="4">
        <v>281279.32278970716</v>
      </c>
      <c r="G14" s="4">
        <v>349487.9753402929</v>
      </c>
      <c r="H14" s="4">
        <f>'[1]Government'!B14</f>
        <v>142353.70187</v>
      </c>
      <c r="I14" s="4">
        <f>'[1]Government'!C14</f>
        <v>26933.09554</v>
      </c>
      <c r="J14" s="4">
        <f>'[1]Government'!D14</f>
        <v>115420.60633</v>
      </c>
    </row>
    <row r="15" spans="1:10" ht="12.75">
      <c r="A15" s="3">
        <v>1995</v>
      </c>
      <c r="B15" s="4">
        <v>639430</v>
      </c>
      <c r="C15" s="4">
        <f t="shared" si="0"/>
        <v>231807.20453402528</v>
      </c>
      <c r="D15" s="4">
        <f t="shared" si="0"/>
        <v>407622.7954659747</v>
      </c>
      <c r="E15" s="4">
        <v>568393.722126</v>
      </c>
      <c r="F15" s="4">
        <v>213162.4240340253</v>
      </c>
      <c r="G15" s="4">
        <v>355231.2980919747</v>
      </c>
      <c r="H15" s="4">
        <f>'[1]Government'!B15</f>
        <v>71036.27787399999</v>
      </c>
      <c r="I15" s="4">
        <f>'[1]Government'!C15</f>
        <v>18644.7805</v>
      </c>
      <c r="J15" s="4">
        <f>'[1]Government'!D15</f>
        <v>52391.497374</v>
      </c>
    </row>
    <row r="16" spans="1:10" ht="12.75">
      <c r="A16" s="3">
        <v>1996</v>
      </c>
      <c r="B16" s="4">
        <v>785329</v>
      </c>
      <c r="C16" s="4">
        <f t="shared" si="0"/>
        <v>238516.63687906408</v>
      </c>
      <c r="D16" s="4">
        <f t="shared" si="0"/>
        <v>546812.3631209359</v>
      </c>
      <c r="E16" s="4">
        <v>678414.122182</v>
      </c>
      <c r="F16" s="4">
        <v>217435.79664406407</v>
      </c>
      <c r="G16" s="4">
        <v>460978.32553793583</v>
      </c>
      <c r="H16" s="4">
        <f>'[1]Government'!B16</f>
        <v>106914.87781800001</v>
      </c>
      <c r="I16" s="4">
        <f>'[1]Government'!C16</f>
        <v>21080.840235</v>
      </c>
      <c r="J16" s="4">
        <f>'[1]Government'!D16</f>
        <v>85834.03758300001</v>
      </c>
    </row>
    <row r="17" spans="1:10" ht="12.75">
      <c r="A17" s="3">
        <v>1997</v>
      </c>
      <c r="B17" s="4">
        <v>859120</v>
      </c>
      <c r="C17" s="4">
        <f t="shared" si="0"/>
        <v>223546.6108136033</v>
      </c>
      <c r="D17" s="4">
        <f t="shared" si="0"/>
        <v>635573.3891863966</v>
      </c>
      <c r="E17" s="4">
        <v>755477.536503</v>
      </c>
      <c r="F17" s="4">
        <v>196254.9325226033</v>
      </c>
      <c r="G17" s="4">
        <v>559222.6039803966</v>
      </c>
      <c r="H17" s="4">
        <f>'[1]Government'!B17</f>
        <v>103642.463497</v>
      </c>
      <c r="I17" s="4">
        <f>'[1]Government'!C17</f>
        <v>27291.678291</v>
      </c>
      <c r="J17" s="4">
        <f>'[1]Government'!D17</f>
        <v>76350.785206</v>
      </c>
    </row>
    <row r="18" spans="1:10" ht="12.75">
      <c r="A18" s="3">
        <v>1998</v>
      </c>
      <c r="B18" s="4">
        <v>1450000</v>
      </c>
      <c r="C18" s="4">
        <f t="shared" si="0"/>
        <v>236230.8004917217</v>
      </c>
      <c r="D18" s="4">
        <f t="shared" si="0"/>
        <v>1213769.1995082782</v>
      </c>
      <c r="E18" s="4">
        <v>1301470.368417</v>
      </c>
      <c r="F18" s="4">
        <v>224594.7414777217</v>
      </c>
      <c r="G18" s="4">
        <v>1076875.626939278</v>
      </c>
      <c r="H18" s="4">
        <f>'[1]Government'!B18</f>
        <v>148529.631583</v>
      </c>
      <c r="I18" s="4">
        <f>'[1]Government'!C18</f>
        <v>11636.059014</v>
      </c>
      <c r="J18" s="4">
        <f>'[1]Government'!D18</f>
        <v>136893.572569</v>
      </c>
    </row>
    <row r="19" spans="1:10" ht="12.75">
      <c r="A19" s="3">
        <v>1999</v>
      </c>
      <c r="B19" s="4">
        <v>1310000</v>
      </c>
      <c r="C19" s="4">
        <f t="shared" si="0"/>
        <v>317787.93855591177</v>
      </c>
      <c r="D19" s="4">
        <f t="shared" si="0"/>
        <v>992212.0614440884</v>
      </c>
      <c r="E19" s="4">
        <v>1134303.648862</v>
      </c>
      <c r="F19" s="4">
        <v>309330.27656291175</v>
      </c>
      <c r="G19" s="4">
        <v>824973.3722990884</v>
      </c>
      <c r="H19" s="4">
        <f>'[1]Government'!B19</f>
        <v>175696.351138</v>
      </c>
      <c r="I19" s="4">
        <f>'[1]Government'!C19</f>
        <v>8457.661993</v>
      </c>
      <c r="J19" s="4">
        <f>'[1]Government'!D19</f>
        <v>167238.689145</v>
      </c>
    </row>
    <row r="20" spans="1:10" ht="12.75">
      <c r="A20" s="3">
        <v>2000</v>
      </c>
      <c r="B20" s="4">
        <v>1048000</v>
      </c>
      <c r="C20" s="4">
        <f t="shared" si="0"/>
        <v>311348.9695725401</v>
      </c>
      <c r="D20" s="4">
        <f t="shared" si="0"/>
        <v>736651.0304274599</v>
      </c>
      <c r="E20" s="4">
        <v>929094.438482</v>
      </c>
      <c r="F20" s="4">
        <v>301851.63392954005</v>
      </c>
      <c r="G20" s="4">
        <v>627242.8045524599</v>
      </c>
      <c r="H20" s="4">
        <f>'[1]Government'!B20</f>
        <v>118905.56151799999</v>
      </c>
      <c r="I20" s="4">
        <f>'[1]Government'!C20</f>
        <v>9497.335643</v>
      </c>
      <c r="J20" s="4">
        <f>'[1]Government'!D20</f>
        <v>109408.22587499999</v>
      </c>
    </row>
    <row r="21" spans="1:10" ht="12.75">
      <c r="A21" s="3">
        <v>2001</v>
      </c>
      <c r="B21" s="4">
        <v>2215000</v>
      </c>
      <c r="C21" s="4">
        <f t="shared" si="0"/>
        <v>367959.08163460746</v>
      </c>
      <c r="D21" s="4">
        <f t="shared" si="0"/>
        <v>1847040.9183653926</v>
      </c>
      <c r="E21" s="4">
        <v>2044185.606644</v>
      </c>
      <c r="F21" s="4">
        <v>363672.8845356075</v>
      </c>
      <c r="G21" s="4">
        <v>1680512.7221083925</v>
      </c>
      <c r="H21" s="4">
        <f>'[1]Government'!B21</f>
        <v>170814.39335600002</v>
      </c>
      <c r="I21" s="4">
        <f>'[1]Government'!C21</f>
        <v>4286.197099</v>
      </c>
      <c r="J21" s="4">
        <f>'[1]Government'!D21</f>
        <v>166528.196257</v>
      </c>
    </row>
    <row r="22" spans="1:10" ht="12.75">
      <c r="A22" s="3">
        <v>2002</v>
      </c>
      <c r="B22" s="4">
        <v>2885000</v>
      </c>
      <c r="C22" s="4">
        <f t="shared" si="0"/>
        <v>613884.5427317929</v>
      </c>
      <c r="D22" s="4">
        <f t="shared" si="0"/>
        <v>2271115.4572682073</v>
      </c>
      <c r="E22" s="4">
        <v>2696939.390786</v>
      </c>
      <c r="F22" s="4">
        <v>600095.9838437929</v>
      </c>
      <c r="G22" s="4">
        <v>2096843.4069422071</v>
      </c>
      <c r="H22" s="4">
        <f>'[1]Government'!B22</f>
        <v>188060.60921399997</v>
      </c>
      <c r="I22" s="4">
        <f>'[1]Government'!C22</f>
        <v>13788.558888</v>
      </c>
      <c r="J22" s="4">
        <f>'[1]Government'!D22</f>
        <v>174272.05032599997</v>
      </c>
    </row>
    <row r="23" spans="1:10" ht="12.75">
      <c r="A23" s="3">
        <v>2003</v>
      </c>
      <c r="B23" s="4">
        <v>3945000</v>
      </c>
      <c r="C23" s="4">
        <f t="shared" si="0"/>
        <v>838689.4735824411</v>
      </c>
      <c r="D23" s="4">
        <f t="shared" si="0"/>
        <v>3106310.5264175585</v>
      </c>
      <c r="E23" s="4">
        <v>3710699.225181</v>
      </c>
      <c r="F23" s="4">
        <v>823960.7629514411</v>
      </c>
      <c r="G23" s="4">
        <v>2886738.4622295587</v>
      </c>
      <c r="H23" s="4">
        <f>'[1]Government'!B23</f>
        <v>234300.77481899998</v>
      </c>
      <c r="I23" s="4">
        <f>'[1]Government'!C23</f>
        <v>14728.710631</v>
      </c>
      <c r="J23" s="4">
        <f>'[1]Government'!D23</f>
        <v>219572.064188</v>
      </c>
    </row>
    <row r="24" spans="1:10" ht="12.75">
      <c r="A24" s="3">
        <v>2004</v>
      </c>
      <c r="B24" s="4">
        <v>2920000</v>
      </c>
      <c r="C24" s="4">
        <f t="shared" si="0"/>
        <v>1136216.2420845162</v>
      </c>
      <c r="D24" s="4">
        <f t="shared" si="0"/>
        <v>1783783.7579154836</v>
      </c>
      <c r="E24" s="4">
        <v>2787436.672018</v>
      </c>
      <c r="F24" s="4">
        <v>1115660.3782285163</v>
      </c>
      <c r="G24" s="4">
        <v>1671776.2937894836</v>
      </c>
      <c r="H24" s="4">
        <f>'[1]Government'!B24</f>
        <v>132563.32798200002</v>
      </c>
      <c r="I24" s="4">
        <f>'[1]Government'!C24</f>
        <v>20555.863856</v>
      </c>
      <c r="J24" s="4">
        <f>'[1]Government'!D24</f>
        <v>112007.464126</v>
      </c>
    </row>
    <row r="25" spans="1:10" ht="12.75">
      <c r="A25" s="3">
        <v>2005</v>
      </c>
      <c r="B25" s="4">
        <v>3120000</v>
      </c>
      <c r="C25" s="5">
        <f>F25+I25</f>
        <v>1101951.621162119</v>
      </c>
      <c r="D25" s="5">
        <f t="shared" si="0"/>
        <v>2018048.3788378811</v>
      </c>
      <c r="E25" s="4">
        <v>3032879.40637513</v>
      </c>
      <c r="F25" s="4">
        <v>1094344.777564119</v>
      </c>
      <c r="G25" s="4">
        <v>1938534.628811011</v>
      </c>
      <c r="H25" s="4">
        <f>'[1]Government'!B25</f>
        <v>87120.59362487</v>
      </c>
      <c r="I25" s="4">
        <f>'[1]Government'!C25</f>
        <v>7606.8435979999995</v>
      </c>
      <c r="J25" s="4">
        <f>'[1]Government'!D25</f>
        <v>79513.75002687001</v>
      </c>
    </row>
    <row r="26" spans="1:10" ht="12.75">
      <c r="A26" s="3">
        <v>2006</v>
      </c>
      <c r="B26" s="4">
        <v>2980000</v>
      </c>
      <c r="C26" s="5">
        <f t="shared" si="0"/>
        <v>922728.0813701202</v>
      </c>
      <c r="D26" s="5">
        <f t="shared" si="0"/>
        <v>2057271.91862988</v>
      </c>
      <c r="E26" s="4">
        <v>2895378</v>
      </c>
      <c r="F26" s="4">
        <v>920723.0813701202</v>
      </c>
      <c r="G26" s="4">
        <v>1974654.91862988</v>
      </c>
      <c r="H26" s="5">
        <f>'[1]Government'!B26</f>
        <v>84622</v>
      </c>
      <c r="I26" s="5">
        <f>'[1]Government'!C26</f>
        <v>2005</v>
      </c>
      <c r="J26" s="5">
        <f>'[1]Government'!D26</f>
        <v>82617</v>
      </c>
    </row>
    <row r="27" spans="1:10" ht="12.75">
      <c r="A27" s="3">
        <v>2007</v>
      </c>
      <c r="B27" s="4">
        <v>2430000</v>
      </c>
      <c r="C27" s="5">
        <f t="shared" si="0"/>
        <v>406224.26061088</v>
      </c>
      <c r="D27" s="5">
        <f t="shared" si="0"/>
        <v>2023775.73938912</v>
      </c>
      <c r="E27" s="4">
        <v>2330972</v>
      </c>
      <c r="F27" s="4">
        <v>404892.26061088</v>
      </c>
      <c r="G27" s="4">
        <v>1926079.73938912</v>
      </c>
      <c r="H27" s="5">
        <f>'[1]Government'!B27</f>
        <v>99028</v>
      </c>
      <c r="I27" s="5">
        <f>'[1]Government'!C27</f>
        <v>1332</v>
      </c>
      <c r="J27" s="5">
        <f>'[1]Government'!D27</f>
        <v>97696</v>
      </c>
    </row>
    <row r="28" spans="1:10" ht="12.75">
      <c r="A28" s="6" t="s">
        <v>12</v>
      </c>
      <c r="B28" s="4"/>
      <c r="C28" s="5"/>
      <c r="D28" s="5"/>
      <c r="E28" s="4"/>
      <c r="F28" s="4"/>
      <c r="G28" s="4"/>
      <c r="H28" s="4"/>
      <c r="I28" s="4"/>
      <c r="J28" s="4"/>
    </row>
    <row r="29" spans="1:10" ht="69" customHeight="1">
      <c r="A29" s="7" t="s">
        <v>13</v>
      </c>
      <c r="B29" s="14" t="s">
        <v>38</v>
      </c>
      <c r="C29" s="14"/>
      <c r="D29" s="14"/>
      <c r="E29" s="14"/>
      <c r="F29" s="14"/>
      <c r="G29" s="14"/>
      <c r="H29" s="14"/>
      <c r="I29" s="14"/>
      <c r="J29" s="14"/>
    </row>
  </sheetData>
  <mergeCells count="5">
    <mergeCell ref="B29:J29"/>
    <mergeCell ref="A5:J5"/>
    <mergeCell ref="A6:J6"/>
    <mergeCell ref="A7:J7"/>
    <mergeCell ref="A8:J8"/>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5:J29"/>
  <sheetViews>
    <sheetView workbookViewId="0" topLeftCell="A1">
      <selection activeCell="F32" sqref="F32"/>
    </sheetView>
  </sheetViews>
  <sheetFormatPr defaultColWidth="9.140625" defaultRowHeight="12.75"/>
  <cols>
    <col min="2" max="2" width="13.00390625" style="0" customWidth="1"/>
    <col min="3" max="3" width="12.7109375" style="0" customWidth="1"/>
    <col min="4" max="4" width="14.7109375" style="0" customWidth="1"/>
    <col min="5" max="5" width="10.7109375" style="0" customWidth="1"/>
    <col min="6" max="6" width="11.57421875" style="0" customWidth="1"/>
    <col min="7" max="7" width="15.140625" style="0" customWidth="1"/>
    <col min="8" max="9" width="10.8515625" style="0" customWidth="1"/>
    <col min="10" max="10" width="11.140625" style="0" customWidth="1"/>
  </cols>
  <sheetData>
    <row r="5" spans="1:10" ht="18">
      <c r="A5" s="15" t="s">
        <v>14</v>
      </c>
      <c r="B5" s="15"/>
      <c r="C5" s="15"/>
      <c r="D5" s="15"/>
      <c r="E5" s="15"/>
      <c r="F5" s="15"/>
      <c r="G5" s="15"/>
      <c r="H5" s="15"/>
      <c r="I5" s="15"/>
      <c r="J5" s="15"/>
    </row>
    <row r="6" spans="1:10" ht="18">
      <c r="A6" s="15" t="s">
        <v>15</v>
      </c>
      <c r="B6" s="15"/>
      <c r="C6" s="15"/>
      <c r="D6" s="15"/>
      <c r="E6" s="15"/>
      <c r="F6" s="15"/>
      <c r="G6" s="15"/>
      <c r="H6" s="15"/>
      <c r="I6" s="15"/>
      <c r="J6" s="15"/>
    </row>
    <row r="7" spans="1:10" ht="18">
      <c r="A7" s="19" t="s">
        <v>16</v>
      </c>
      <c r="B7" s="19"/>
      <c r="C7" s="19"/>
      <c r="D7" s="19"/>
      <c r="E7" s="19"/>
      <c r="F7" s="19"/>
      <c r="G7" s="19"/>
      <c r="H7" s="19"/>
      <c r="I7" s="19"/>
      <c r="J7" s="19"/>
    </row>
    <row r="8" spans="1:10" ht="15.75">
      <c r="A8" s="20" t="s">
        <v>2</v>
      </c>
      <c r="B8" s="20"/>
      <c r="C8" s="20"/>
      <c r="D8" s="20"/>
      <c r="E8" s="20"/>
      <c r="F8" s="20"/>
      <c r="G8" s="20"/>
      <c r="H8" s="20"/>
      <c r="I8" s="20"/>
      <c r="J8" s="20"/>
    </row>
    <row r="9" spans="1:10" ht="25.5">
      <c r="A9" s="1"/>
      <c r="B9" s="2" t="s">
        <v>17</v>
      </c>
      <c r="C9" s="2" t="s">
        <v>7</v>
      </c>
      <c r="D9" s="2" t="s">
        <v>8</v>
      </c>
      <c r="E9" s="2" t="s">
        <v>18</v>
      </c>
      <c r="F9" s="2" t="s">
        <v>19</v>
      </c>
      <c r="G9" s="2" t="s">
        <v>20</v>
      </c>
      <c r="H9" s="2" t="s">
        <v>21</v>
      </c>
      <c r="I9" s="2" t="s">
        <v>22</v>
      </c>
      <c r="J9" s="2" t="s">
        <v>23</v>
      </c>
    </row>
    <row r="10" spans="1:10" ht="12.75">
      <c r="A10" s="3">
        <v>1990</v>
      </c>
      <c r="B10" s="4">
        <f>'[1]Total'!E10</f>
        <v>380513.253793</v>
      </c>
      <c r="C10" s="4">
        <f>F10+I10</f>
        <v>127031.30567276271</v>
      </c>
      <c r="D10" s="4">
        <f>G10+J10</f>
        <v>253481.9481202373</v>
      </c>
      <c r="E10" s="4">
        <f>B10-H10</f>
        <v>289874.9967395074</v>
      </c>
      <c r="F10" s="4">
        <f>E10*0.26</f>
        <v>75367.49915227194</v>
      </c>
      <c r="G10" s="4">
        <f>E10-F10</f>
        <v>214507.49758723547</v>
      </c>
      <c r="H10" s="4">
        <f>B10*0.2382</f>
        <v>90638.2570534926</v>
      </c>
      <c r="I10" s="4">
        <f>H10*0.57</f>
        <v>51663.80652049078</v>
      </c>
      <c r="J10" s="4">
        <f>H10-I10</f>
        <v>38974.45053300182</v>
      </c>
    </row>
    <row r="11" spans="1:10" ht="12.75">
      <c r="A11" s="3">
        <v>1991</v>
      </c>
      <c r="B11" s="4">
        <f>'[1]Total'!E11</f>
        <v>498482.141099</v>
      </c>
      <c r="C11" s="4">
        <f aca="true" t="shared" si="0" ref="C11:D25">F11+I11</f>
        <v>132209.92587298228</v>
      </c>
      <c r="D11" s="4">
        <f t="shared" si="0"/>
        <v>366272.2152260177</v>
      </c>
      <c r="E11" s="4">
        <f aca="true" t="shared" si="1" ref="E11:E26">B11-H11</f>
        <v>388367.4361302309</v>
      </c>
      <c r="F11" s="4">
        <f>E11*0.21</f>
        <v>81557.16158734848</v>
      </c>
      <c r="G11" s="4">
        <f aca="true" t="shared" si="2" ref="G11:G24">E11-F11</f>
        <v>306810.2745428824</v>
      </c>
      <c r="H11" s="4">
        <f>B11*0.2209</f>
        <v>110114.7049687691</v>
      </c>
      <c r="I11" s="4">
        <f>H11*0.46</f>
        <v>50652.76428563379</v>
      </c>
      <c r="J11" s="4">
        <f aca="true" t="shared" si="3" ref="J11:J23">H11-I11</f>
        <v>59461.94068313531</v>
      </c>
    </row>
    <row r="12" spans="1:10" ht="12.75">
      <c r="A12" s="3">
        <v>1992</v>
      </c>
      <c r="B12" s="4">
        <f>'[1]Total'!E12</f>
        <v>828766.692471</v>
      </c>
      <c r="C12" s="4">
        <f t="shared" si="0"/>
        <v>195817.679030278</v>
      </c>
      <c r="D12" s="4">
        <f t="shared" si="0"/>
        <v>632949.0134407219</v>
      </c>
      <c r="E12" s="4">
        <f t="shared" si="1"/>
        <v>662018.8339458348</v>
      </c>
      <c r="F12" s="4">
        <f>E12*0.19</f>
        <v>125783.57844970861</v>
      </c>
      <c r="G12" s="4">
        <f t="shared" si="2"/>
        <v>536235.2554961261</v>
      </c>
      <c r="H12" s="4">
        <f>B12*0.2012</f>
        <v>166747.85852516518</v>
      </c>
      <c r="I12" s="4">
        <f>H12*0.42</f>
        <v>70034.10058056937</v>
      </c>
      <c r="J12" s="4">
        <f t="shared" si="3"/>
        <v>96713.75794459581</v>
      </c>
    </row>
    <row r="13" spans="1:10" ht="12.75">
      <c r="A13" s="3">
        <v>1993</v>
      </c>
      <c r="B13" s="4">
        <f>'[1]Total'!E13</f>
        <v>925008.644661</v>
      </c>
      <c r="C13" s="4">
        <f t="shared" si="0"/>
        <v>222190.77648215083</v>
      </c>
      <c r="D13" s="4">
        <f t="shared" si="0"/>
        <v>702817.8681788491</v>
      </c>
      <c r="E13" s="4">
        <f t="shared" si="1"/>
        <v>732976.8500293763</v>
      </c>
      <c r="F13" s="4">
        <f>E13*0.18</f>
        <v>131935.83300528774</v>
      </c>
      <c r="G13" s="4">
        <f t="shared" si="2"/>
        <v>601041.0170240887</v>
      </c>
      <c r="H13" s="4">
        <f>B13*0.2076</f>
        <v>192031.7946316236</v>
      </c>
      <c r="I13" s="4">
        <f>H13*0.47</f>
        <v>90254.94347686309</v>
      </c>
      <c r="J13" s="4">
        <f t="shared" si="3"/>
        <v>101776.85115476052</v>
      </c>
    </row>
    <row r="14" spans="1:10" ht="12.75">
      <c r="A14" s="3">
        <v>1994</v>
      </c>
      <c r="B14" s="4">
        <f>'[1]Total'!E14</f>
        <v>630767.29813</v>
      </c>
      <c r="C14" s="4">
        <f t="shared" si="0"/>
        <v>281279.32278970716</v>
      </c>
      <c r="D14" s="4">
        <f t="shared" si="0"/>
        <v>349487.9753402929</v>
      </c>
      <c r="E14" s="4">
        <f t="shared" si="1"/>
        <v>480203.14406636904</v>
      </c>
      <c r="F14" s="4">
        <f>E14*0.36</f>
        <v>172873.13186389284</v>
      </c>
      <c r="G14" s="4">
        <f t="shared" si="2"/>
        <v>307330.0122024762</v>
      </c>
      <c r="H14" s="4">
        <f>B14*0.2387</f>
        <v>150564.154063631</v>
      </c>
      <c r="I14" s="4">
        <f>H14*0.72</f>
        <v>108406.19092581431</v>
      </c>
      <c r="J14" s="4">
        <f t="shared" si="3"/>
        <v>42157.96313781668</v>
      </c>
    </row>
    <row r="15" spans="1:10" ht="12.75">
      <c r="A15" s="3">
        <v>1995</v>
      </c>
      <c r="B15" s="4">
        <f>'[1]Total'!E15</f>
        <v>568393.722126</v>
      </c>
      <c r="C15" s="4">
        <f t="shared" si="0"/>
        <v>213162.4240340253</v>
      </c>
      <c r="D15" s="4">
        <f t="shared" si="0"/>
        <v>355231.2980919747</v>
      </c>
      <c r="E15" s="4">
        <f t="shared" si="1"/>
        <v>437776.84478144516</v>
      </c>
      <c r="F15" s="4">
        <f>E15*0.29</f>
        <v>126955.2849866191</v>
      </c>
      <c r="G15" s="4">
        <f t="shared" si="2"/>
        <v>310821.5597948261</v>
      </c>
      <c r="H15" s="4">
        <f>B15*0.2298</f>
        <v>130616.8773445548</v>
      </c>
      <c r="I15" s="4">
        <f>H15*0.66</f>
        <v>86207.13904740618</v>
      </c>
      <c r="J15" s="4">
        <f t="shared" si="3"/>
        <v>44409.73829714862</v>
      </c>
    </row>
    <row r="16" spans="1:10" ht="12.75">
      <c r="A16" s="3">
        <v>1996</v>
      </c>
      <c r="B16" s="4">
        <f>'[1]Total'!E16</f>
        <v>678414.122182</v>
      </c>
      <c r="C16" s="4">
        <f t="shared" si="0"/>
        <v>217435.79664406407</v>
      </c>
      <c r="D16" s="4">
        <f t="shared" si="0"/>
        <v>460978.32553793583</v>
      </c>
      <c r="E16" s="4">
        <f t="shared" si="1"/>
        <v>516069.6227438474</v>
      </c>
      <c r="F16" s="4">
        <f>E16*0.22</f>
        <v>113535.31700364643</v>
      </c>
      <c r="G16" s="4">
        <f t="shared" si="2"/>
        <v>402534.3057402009</v>
      </c>
      <c r="H16" s="4">
        <f>B16*0.2393</f>
        <v>162344.4994381526</v>
      </c>
      <c r="I16" s="4">
        <f>H16*0.64</f>
        <v>103900.47964041766</v>
      </c>
      <c r="J16" s="4">
        <f t="shared" si="3"/>
        <v>58444.01979773493</v>
      </c>
    </row>
    <row r="17" spans="1:10" ht="12.75">
      <c r="A17" s="3">
        <v>1997</v>
      </c>
      <c r="B17" s="4">
        <f>'[1]Total'!E17</f>
        <v>755477.536503</v>
      </c>
      <c r="C17" s="4">
        <f t="shared" si="0"/>
        <v>196254.9325226033</v>
      </c>
      <c r="D17" s="4">
        <f t="shared" si="0"/>
        <v>559222.6039803966</v>
      </c>
      <c r="E17" s="4">
        <f t="shared" si="1"/>
        <v>567212.5344064523</v>
      </c>
      <c r="F17" s="4">
        <f>E17*0.19</f>
        <v>107770.38153722594</v>
      </c>
      <c r="G17" s="4">
        <f t="shared" si="2"/>
        <v>459442.1528692264</v>
      </c>
      <c r="H17" s="4">
        <f>B17*0.2492</f>
        <v>188265.0020965476</v>
      </c>
      <c r="I17" s="4">
        <f>H17*0.47</f>
        <v>88484.55098537737</v>
      </c>
      <c r="J17" s="4">
        <f t="shared" si="3"/>
        <v>99780.45111117023</v>
      </c>
    </row>
    <row r="18" spans="1:10" ht="12.75">
      <c r="A18" s="3">
        <v>1998</v>
      </c>
      <c r="B18" s="4">
        <f>'[1]Total'!E18</f>
        <v>1301470.368417</v>
      </c>
      <c r="C18" s="4">
        <f t="shared" si="0"/>
        <v>224594.7414777217</v>
      </c>
      <c r="D18" s="4">
        <f t="shared" si="0"/>
        <v>1076875.626939278</v>
      </c>
      <c r="E18" s="4">
        <f t="shared" si="1"/>
        <v>986644.6862969276</v>
      </c>
      <c r="F18" s="4">
        <f>E18*0.1</f>
        <v>98664.46862969277</v>
      </c>
      <c r="G18" s="4">
        <f t="shared" si="2"/>
        <v>887980.2176672348</v>
      </c>
      <c r="H18" s="4">
        <f>B18*0.2419</f>
        <v>314825.6821200723</v>
      </c>
      <c r="I18" s="4">
        <f>H18*0.4</f>
        <v>125930.27284802892</v>
      </c>
      <c r="J18" s="4">
        <f t="shared" si="3"/>
        <v>188895.40927204338</v>
      </c>
    </row>
    <row r="19" spans="1:10" ht="12.75">
      <c r="A19" s="3">
        <v>1999</v>
      </c>
      <c r="B19" s="4">
        <f>'[1]Total'!E19</f>
        <v>1134303.648862</v>
      </c>
      <c r="C19" s="4">
        <f t="shared" si="0"/>
        <v>309330.27656291175</v>
      </c>
      <c r="D19" s="4">
        <f t="shared" si="0"/>
        <v>824973.3722990884</v>
      </c>
      <c r="E19" s="4">
        <f t="shared" si="1"/>
        <v>850160.584822069</v>
      </c>
      <c r="F19" s="4">
        <f>E19*0.17</f>
        <v>144527.29941975174</v>
      </c>
      <c r="G19" s="4">
        <f t="shared" si="2"/>
        <v>705633.2854023173</v>
      </c>
      <c r="H19" s="4">
        <f>B19*0.2505</f>
        <v>284143.06403993105</v>
      </c>
      <c r="I19" s="4">
        <f>H19*0.58</f>
        <v>164802.97714316</v>
      </c>
      <c r="J19" s="4">
        <f t="shared" si="3"/>
        <v>119340.08689677104</v>
      </c>
    </row>
    <row r="20" spans="1:10" ht="12.75">
      <c r="A20" s="3">
        <v>2000</v>
      </c>
      <c r="B20" s="4">
        <f>'[1]Total'!E20</f>
        <v>929094.438482</v>
      </c>
      <c r="C20" s="4">
        <f t="shared" si="0"/>
        <v>301851.63392954005</v>
      </c>
      <c r="D20" s="4">
        <f t="shared" si="0"/>
        <v>627242.8045524599</v>
      </c>
      <c r="E20" s="4">
        <f t="shared" si="1"/>
        <v>688087.3411397692</v>
      </c>
      <c r="F20" s="4">
        <f>E20*0.19</f>
        <v>130736.59481655614</v>
      </c>
      <c r="G20" s="4">
        <f t="shared" si="2"/>
        <v>557350.746323213</v>
      </c>
      <c r="H20" s="4">
        <f>B20*0.2594</f>
        <v>241007.09734223082</v>
      </c>
      <c r="I20" s="4">
        <f>H20*0.71</f>
        <v>171115.03911298388</v>
      </c>
      <c r="J20" s="4">
        <f t="shared" si="3"/>
        <v>69892.05822924693</v>
      </c>
    </row>
    <row r="21" spans="1:10" ht="12.75">
      <c r="A21" s="3">
        <v>2001</v>
      </c>
      <c r="B21" s="4">
        <f>'[1]Total'!E21</f>
        <v>2044185.606644</v>
      </c>
      <c r="C21" s="4">
        <f t="shared" si="0"/>
        <v>363672.8845356075</v>
      </c>
      <c r="D21" s="4">
        <f t="shared" si="0"/>
        <v>1680512.7221083925</v>
      </c>
      <c r="E21" s="4">
        <f t="shared" si="1"/>
        <v>1616337.5591734108</v>
      </c>
      <c r="F21" s="4">
        <f>E21*0.09</f>
        <v>145470.38032560697</v>
      </c>
      <c r="G21" s="4">
        <f t="shared" si="2"/>
        <v>1470867.1788478037</v>
      </c>
      <c r="H21" s="4">
        <f>B21*0.2093</f>
        <v>427848.0474705892</v>
      </c>
      <c r="I21" s="4">
        <f>H21*0.51</f>
        <v>218202.5042100005</v>
      </c>
      <c r="J21" s="4">
        <f t="shared" si="3"/>
        <v>209645.54326058872</v>
      </c>
    </row>
    <row r="22" spans="1:10" ht="12.75">
      <c r="A22" s="3">
        <v>2002</v>
      </c>
      <c r="B22" s="4">
        <f>'[1]Total'!E22</f>
        <v>2696939.390786</v>
      </c>
      <c r="C22" s="4">
        <f t="shared" si="0"/>
        <v>600095.9838437929</v>
      </c>
      <c r="D22" s="4">
        <f t="shared" si="0"/>
        <v>2096843.4069422071</v>
      </c>
      <c r="E22" s="4">
        <f t="shared" si="1"/>
        <v>2095521.906640722</v>
      </c>
      <c r="F22" s="4">
        <f>E22*0.14</f>
        <v>293373.0669297011</v>
      </c>
      <c r="G22" s="4">
        <f t="shared" si="2"/>
        <v>1802148.839711021</v>
      </c>
      <c r="H22" s="4">
        <f>B22*0.223</f>
        <v>601417.484145278</v>
      </c>
      <c r="I22" s="4">
        <f>H22*0.51</f>
        <v>306722.9169140918</v>
      </c>
      <c r="J22" s="4">
        <f t="shared" si="3"/>
        <v>294694.5672311862</v>
      </c>
    </row>
    <row r="23" spans="1:10" ht="12.75">
      <c r="A23" s="3">
        <v>2003</v>
      </c>
      <c r="B23" s="4">
        <f>'[1]Total'!E23</f>
        <v>3710699.225181</v>
      </c>
      <c r="C23" s="4">
        <f t="shared" si="0"/>
        <v>823960.7629514411</v>
      </c>
      <c r="D23" s="4">
        <f t="shared" si="0"/>
        <v>2886738.4622295587</v>
      </c>
      <c r="E23" s="4">
        <f t="shared" si="1"/>
        <v>3033496.6165854675</v>
      </c>
      <c r="F23" s="4">
        <f>E23*0.16</f>
        <v>485359.4586536748</v>
      </c>
      <c r="G23" s="4">
        <f t="shared" si="2"/>
        <v>2548137.1579317925</v>
      </c>
      <c r="H23" s="4">
        <f>B23*0.1825</f>
        <v>677202.6085955325</v>
      </c>
      <c r="I23" s="4">
        <f>H23*0.5</f>
        <v>338601.30429776624</v>
      </c>
      <c r="J23" s="4">
        <f t="shared" si="3"/>
        <v>338601.30429776624</v>
      </c>
    </row>
    <row r="24" spans="1:10" ht="12.75">
      <c r="A24" s="8">
        <v>2004</v>
      </c>
      <c r="B24" s="4">
        <f>'[1]Total'!E24</f>
        <v>2787436.672018</v>
      </c>
      <c r="C24" s="4">
        <f t="shared" si="0"/>
        <v>1115660.3782285163</v>
      </c>
      <c r="D24" s="4">
        <f t="shared" si="0"/>
        <v>1671776.2937894836</v>
      </c>
      <c r="E24" s="4">
        <f t="shared" si="1"/>
        <v>2142423.826113035</v>
      </c>
      <c r="F24" s="9">
        <f>E24*0.31</f>
        <v>664151.3860950408</v>
      </c>
      <c r="G24" s="4">
        <f t="shared" si="2"/>
        <v>1478272.440017994</v>
      </c>
      <c r="H24" s="4">
        <f>B24*0.2314</f>
        <v>645012.8459049652</v>
      </c>
      <c r="I24" s="9">
        <f>H24*0.7</f>
        <v>451508.9921334756</v>
      </c>
      <c r="J24" s="4">
        <f>H24-I24</f>
        <v>193503.85377148958</v>
      </c>
    </row>
    <row r="25" spans="1:10" ht="12.75">
      <c r="A25" s="8">
        <v>2005</v>
      </c>
      <c r="B25" s="4">
        <f>'[1]Total'!E25</f>
        <v>3032879.40637513</v>
      </c>
      <c r="C25" s="4">
        <f t="shared" si="0"/>
        <v>1094344.777564119</v>
      </c>
      <c r="D25" s="4">
        <f>G25+J25</f>
        <v>1938534.628811011</v>
      </c>
      <c r="E25" s="5">
        <f>B25-H25</f>
        <v>2244937.3365988713</v>
      </c>
      <c r="F25" s="9">
        <f>E25*0.266</f>
        <v>597153.3315352998</v>
      </c>
      <c r="G25" s="9">
        <f>E25-F25</f>
        <v>1647784.0050635715</v>
      </c>
      <c r="H25" s="4">
        <f>B25*0.2598</f>
        <v>787942.0697762588</v>
      </c>
      <c r="I25" s="9">
        <f>H25*0.631</f>
        <v>497191.4460288193</v>
      </c>
      <c r="J25" s="4">
        <f>H25-I25</f>
        <v>290750.6237474395</v>
      </c>
    </row>
    <row r="26" spans="1:10" ht="12.75">
      <c r="A26" s="8">
        <v>2006</v>
      </c>
      <c r="B26" s="4">
        <f>'[1]Total'!E26</f>
        <v>2895378</v>
      </c>
      <c r="C26" s="4">
        <f>F26+I26</f>
        <v>920723.0813701202</v>
      </c>
      <c r="D26" s="4">
        <f>G26+J26</f>
        <v>1974654.91862988</v>
      </c>
      <c r="E26" s="5">
        <f t="shared" si="1"/>
        <v>2210331.5652</v>
      </c>
      <c r="F26" s="4">
        <f>E26*0.2513</f>
        <v>555456.3223347601</v>
      </c>
      <c r="G26" s="9">
        <f>E26-F26</f>
        <v>1654875.24286524</v>
      </c>
      <c r="H26" s="4">
        <f>B26*0.2366</f>
        <v>685046.4348</v>
      </c>
      <c r="I26" s="4">
        <f>H26*0.5332</f>
        <v>365266.75903536</v>
      </c>
      <c r="J26" s="4">
        <f>H26-I26</f>
        <v>319779.67576464004</v>
      </c>
    </row>
    <row r="27" spans="1:10" ht="12.75">
      <c r="A27" s="8">
        <v>2007</v>
      </c>
      <c r="B27" s="4">
        <v>2330972</v>
      </c>
      <c r="C27" s="4">
        <v>404892.26061088</v>
      </c>
      <c r="D27" s="4">
        <v>1926079.73938912</v>
      </c>
      <c r="E27" s="5">
        <v>1864311.4056</v>
      </c>
      <c r="F27" s="4">
        <v>209921.46427056</v>
      </c>
      <c r="G27" s="9">
        <v>1654389.9413294399</v>
      </c>
      <c r="H27" s="4">
        <v>466660.5944</v>
      </c>
      <c r="I27" s="4">
        <v>194970.79634032</v>
      </c>
      <c r="J27" s="4">
        <v>271689.79805968003</v>
      </c>
    </row>
    <row r="28" ht="12.75">
      <c r="A28" s="10" t="s">
        <v>12</v>
      </c>
    </row>
    <row r="29" spans="1:10" ht="69" customHeight="1">
      <c r="A29" s="7" t="s">
        <v>13</v>
      </c>
      <c r="B29" s="14" t="s">
        <v>37</v>
      </c>
      <c r="C29" s="14"/>
      <c r="D29" s="14"/>
      <c r="E29" s="14"/>
      <c r="F29" s="14"/>
      <c r="G29" s="14"/>
      <c r="H29" s="14"/>
      <c r="I29" s="14"/>
      <c r="J29" s="14"/>
    </row>
  </sheetData>
  <mergeCells count="5">
    <mergeCell ref="B29:J29"/>
    <mergeCell ref="A5:J5"/>
    <mergeCell ref="A6:J6"/>
    <mergeCell ref="A7:J7"/>
    <mergeCell ref="A8:J8"/>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5:K28"/>
  <sheetViews>
    <sheetView workbookViewId="0" topLeftCell="A1">
      <selection activeCell="E33" sqref="E33"/>
    </sheetView>
  </sheetViews>
  <sheetFormatPr defaultColWidth="9.140625" defaultRowHeight="12.75"/>
  <cols>
    <col min="2" max="2" width="15.00390625" style="0" customWidth="1"/>
    <col min="3" max="3" width="11.8515625" style="0" customWidth="1"/>
    <col min="4" max="4" width="12.7109375" style="0" customWidth="1"/>
    <col min="5" max="5" width="13.7109375" style="0" customWidth="1"/>
    <col min="6" max="6" width="12.140625" style="0" customWidth="1"/>
    <col min="7" max="7" width="11.8515625" style="0" customWidth="1"/>
    <col min="8" max="8" width="14.140625" style="0" customWidth="1"/>
    <col min="9" max="9" width="12.140625" style="0" customWidth="1"/>
    <col min="10" max="10" width="12.28125" style="0" customWidth="1"/>
    <col min="11" max="11" width="12.140625" style="0" customWidth="1"/>
  </cols>
  <sheetData>
    <row r="5" spans="5:7" ht="18">
      <c r="E5" s="15" t="s">
        <v>24</v>
      </c>
      <c r="F5" s="15"/>
      <c r="G5" s="15"/>
    </row>
    <row r="6" spans="1:11" ht="18">
      <c r="A6" s="15" t="s">
        <v>25</v>
      </c>
      <c r="B6" s="15"/>
      <c r="C6" s="15"/>
      <c r="D6" s="15"/>
      <c r="E6" s="15"/>
      <c r="F6" s="15"/>
      <c r="G6" s="15"/>
      <c r="H6" s="15"/>
      <c r="I6" s="15"/>
      <c r="J6" s="15"/>
      <c r="K6" s="15"/>
    </row>
    <row r="7" spans="1:11" ht="18">
      <c r="A7" s="15" t="s">
        <v>26</v>
      </c>
      <c r="B7" s="15"/>
      <c r="C7" s="15"/>
      <c r="D7" s="15"/>
      <c r="E7" s="15"/>
      <c r="F7" s="15"/>
      <c r="G7" s="15"/>
      <c r="H7" s="15"/>
      <c r="I7" s="15"/>
      <c r="J7" s="15"/>
      <c r="K7" s="15"/>
    </row>
    <row r="8" spans="1:11" ht="15.75">
      <c r="A8" s="21" t="s">
        <v>2</v>
      </c>
      <c r="B8" s="21"/>
      <c r="C8" s="21"/>
      <c r="D8" s="21"/>
      <c r="E8" s="21"/>
      <c r="F8" s="21"/>
      <c r="G8" s="21"/>
      <c r="H8" s="21"/>
      <c r="I8" s="21"/>
      <c r="J8" s="21"/>
      <c r="K8" s="21"/>
    </row>
    <row r="9" spans="1:11" ht="52.5" customHeight="1">
      <c r="A9" s="11"/>
      <c r="B9" s="12" t="s">
        <v>27</v>
      </c>
      <c r="C9" s="12" t="s">
        <v>10</v>
      </c>
      <c r="D9" s="12" t="s">
        <v>11</v>
      </c>
      <c r="E9" s="12" t="s">
        <v>28</v>
      </c>
      <c r="F9" s="12" t="s">
        <v>29</v>
      </c>
      <c r="G9" s="12" t="s">
        <v>30</v>
      </c>
      <c r="H9" s="12" t="s">
        <v>31</v>
      </c>
      <c r="I9" s="12" t="s">
        <v>32</v>
      </c>
      <c r="J9" s="12" t="s">
        <v>33</v>
      </c>
      <c r="K9" s="12" t="s">
        <v>34</v>
      </c>
    </row>
    <row r="10" spans="1:11" ht="12.75">
      <c r="A10" s="8">
        <v>1990</v>
      </c>
      <c r="B10" s="9">
        <f>C10+D10</f>
        <v>77926.746207</v>
      </c>
      <c r="C10" s="9">
        <f>F10+I10</f>
        <v>609.069609</v>
      </c>
      <c r="D10" s="9">
        <f>G10+J10+K10</f>
        <v>77317.676598</v>
      </c>
      <c r="E10" s="4">
        <v>51664.946207</v>
      </c>
      <c r="F10" s="4">
        <v>609.069609</v>
      </c>
      <c r="G10" s="4">
        <v>51055.876598</v>
      </c>
      <c r="H10" s="9">
        <v>24984</v>
      </c>
      <c r="I10" s="9">
        <v>0</v>
      </c>
      <c r="J10" s="9">
        <v>24984</v>
      </c>
      <c r="K10" s="9">
        <v>1277.8</v>
      </c>
    </row>
    <row r="11" spans="1:11" ht="12.75">
      <c r="A11" s="8">
        <v>1991</v>
      </c>
      <c r="B11" s="9">
        <f aca="true" t="shared" si="0" ref="B11:B27">C11+D11</f>
        <v>63591.858901</v>
      </c>
      <c r="C11" s="9">
        <f aca="true" t="shared" si="1" ref="C11:C27">F11+I11</f>
        <v>2805.207312</v>
      </c>
      <c r="D11" s="9">
        <f aca="true" t="shared" si="2" ref="D11:D27">G11+J11+K11</f>
        <v>60786.651589</v>
      </c>
      <c r="E11" s="4">
        <v>46467.733901</v>
      </c>
      <c r="F11" s="4">
        <v>2805.207312</v>
      </c>
      <c r="G11" s="4">
        <v>43662.526589</v>
      </c>
      <c r="H11" s="9">
        <v>15814</v>
      </c>
      <c r="I11" s="9">
        <v>0</v>
      </c>
      <c r="J11" s="9">
        <v>15814</v>
      </c>
      <c r="K11" s="9">
        <v>1310.125</v>
      </c>
    </row>
    <row r="12" spans="1:11" ht="12.75">
      <c r="A12" s="8">
        <v>1992</v>
      </c>
      <c r="B12" s="9">
        <f t="shared" si="0"/>
        <v>64899.307529</v>
      </c>
      <c r="C12" s="9">
        <f t="shared" si="1"/>
        <v>8903.896674</v>
      </c>
      <c r="D12" s="9">
        <f t="shared" si="2"/>
        <v>55995.410855</v>
      </c>
      <c r="E12" s="4">
        <v>47859.182529</v>
      </c>
      <c r="F12" s="4">
        <v>8903.896674</v>
      </c>
      <c r="G12" s="4">
        <v>38955.285855</v>
      </c>
      <c r="H12" s="9">
        <v>15692</v>
      </c>
      <c r="I12" s="9">
        <v>0</v>
      </c>
      <c r="J12" s="9">
        <v>15692</v>
      </c>
      <c r="K12" s="9">
        <v>1348.125</v>
      </c>
    </row>
    <row r="13" spans="1:11" ht="12.75">
      <c r="A13" s="8">
        <v>1993</v>
      </c>
      <c r="B13" s="9">
        <f t="shared" si="0"/>
        <v>94852.355339</v>
      </c>
      <c r="C13" s="9">
        <f t="shared" si="1"/>
        <v>14015.940786</v>
      </c>
      <c r="D13" s="9">
        <f t="shared" si="2"/>
        <v>80836.41455300001</v>
      </c>
      <c r="E13" s="4">
        <v>78964.430339</v>
      </c>
      <c r="F13" s="4">
        <v>12247.940786</v>
      </c>
      <c r="G13" s="4">
        <v>66716.489553</v>
      </c>
      <c r="H13" s="9">
        <v>14329</v>
      </c>
      <c r="I13" s="9">
        <v>1768</v>
      </c>
      <c r="J13" s="9">
        <v>12561</v>
      </c>
      <c r="K13" s="9">
        <v>1558.925</v>
      </c>
    </row>
    <row r="14" spans="1:11" ht="12.75">
      <c r="A14" s="8">
        <v>1994</v>
      </c>
      <c r="B14" s="9">
        <f t="shared" si="0"/>
        <v>142353.70187</v>
      </c>
      <c r="C14" s="9">
        <f t="shared" si="1"/>
        <v>26933.09554</v>
      </c>
      <c r="D14" s="9">
        <f t="shared" si="2"/>
        <v>115420.60633</v>
      </c>
      <c r="E14" s="4">
        <v>91132.70187</v>
      </c>
      <c r="F14" s="4">
        <v>19282.09554</v>
      </c>
      <c r="G14" s="4">
        <v>71850.60633</v>
      </c>
      <c r="H14" s="9">
        <v>49252</v>
      </c>
      <c r="I14" s="9">
        <v>7651</v>
      </c>
      <c r="J14" s="9">
        <v>41601</v>
      </c>
      <c r="K14" s="9">
        <v>1969</v>
      </c>
    </row>
    <row r="15" spans="1:11" ht="12.75">
      <c r="A15" s="8">
        <v>1995</v>
      </c>
      <c r="B15" s="9">
        <f t="shared" si="0"/>
        <v>71036.27787399999</v>
      </c>
      <c r="C15" s="9">
        <f t="shared" si="1"/>
        <v>18644.7805</v>
      </c>
      <c r="D15" s="9">
        <f t="shared" si="2"/>
        <v>52391.497374</v>
      </c>
      <c r="E15" s="4">
        <v>45078.227874</v>
      </c>
      <c r="F15" s="4">
        <v>13175.7805</v>
      </c>
      <c r="G15" s="4">
        <v>31902.447374</v>
      </c>
      <c r="H15" s="9">
        <v>23676</v>
      </c>
      <c r="I15" s="9">
        <v>5469</v>
      </c>
      <c r="J15" s="9">
        <v>18207</v>
      </c>
      <c r="K15" s="9">
        <v>2282.05</v>
      </c>
    </row>
    <row r="16" spans="1:11" ht="12.75">
      <c r="A16" s="8">
        <v>1996</v>
      </c>
      <c r="B16" s="9">
        <f t="shared" si="0"/>
        <v>106914.87781800001</v>
      </c>
      <c r="C16" s="9">
        <f t="shared" si="1"/>
        <v>21080.840235</v>
      </c>
      <c r="D16" s="9">
        <f t="shared" si="2"/>
        <v>85834.03758300001</v>
      </c>
      <c r="E16" s="4">
        <v>71645.702818</v>
      </c>
      <c r="F16" s="4">
        <v>20223.840235</v>
      </c>
      <c r="G16" s="4">
        <v>51421.862583</v>
      </c>
      <c r="H16" s="9">
        <v>33105</v>
      </c>
      <c r="I16" s="9">
        <v>857</v>
      </c>
      <c r="J16" s="9">
        <v>32248</v>
      </c>
      <c r="K16" s="9">
        <v>2164.175</v>
      </c>
    </row>
    <row r="17" spans="1:11" ht="12.75">
      <c r="A17" s="8">
        <v>1997</v>
      </c>
      <c r="B17" s="9">
        <f t="shared" si="0"/>
        <v>103642.463497</v>
      </c>
      <c r="C17" s="9">
        <f t="shared" si="1"/>
        <v>27291.678291</v>
      </c>
      <c r="D17" s="9">
        <f t="shared" si="2"/>
        <v>76350.785206</v>
      </c>
      <c r="E17" s="4">
        <v>74245.563497</v>
      </c>
      <c r="F17" s="4">
        <v>27262.678291</v>
      </c>
      <c r="G17" s="4">
        <v>46982.885206</v>
      </c>
      <c r="H17" s="9">
        <v>26683</v>
      </c>
      <c r="I17" s="9">
        <v>29</v>
      </c>
      <c r="J17" s="9">
        <v>26654</v>
      </c>
      <c r="K17" s="9">
        <v>2713.9</v>
      </c>
    </row>
    <row r="18" spans="1:11" ht="12.75">
      <c r="A18" s="8">
        <v>1998</v>
      </c>
      <c r="B18" s="9">
        <f t="shared" si="0"/>
        <v>148529.631583</v>
      </c>
      <c r="C18" s="9">
        <f t="shared" si="1"/>
        <v>11636.059014</v>
      </c>
      <c r="D18" s="9">
        <f t="shared" si="2"/>
        <v>136893.572569</v>
      </c>
      <c r="E18" s="4">
        <v>103087.256583</v>
      </c>
      <c r="F18" s="4">
        <v>11622.059014</v>
      </c>
      <c r="G18" s="4">
        <v>91465.197569</v>
      </c>
      <c r="H18" s="9">
        <v>42455</v>
      </c>
      <c r="I18" s="9">
        <v>14</v>
      </c>
      <c r="J18" s="9">
        <v>42441</v>
      </c>
      <c r="K18" s="9">
        <v>2987.375</v>
      </c>
    </row>
    <row r="19" spans="1:11" ht="12.75">
      <c r="A19" s="8">
        <v>1999</v>
      </c>
      <c r="B19" s="9">
        <f t="shared" si="0"/>
        <v>175696.351138</v>
      </c>
      <c r="C19" s="9">
        <f t="shared" si="1"/>
        <v>8457.661993</v>
      </c>
      <c r="D19" s="9">
        <f t="shared" si="2"/>
        <v>167238.689145</v>
      </c>
      <c r="E19" s="4">
        <v>122372.651138</v>
      </c>
      <c r="F19" s="4">
        <v>8450.661993</v>
      </c>
      <c r="G19" s="4">
        <v>113921.989145</v>
      </c>
      <c r="H19" s="9">
        <v>49465</v>
      </c>
      <c r="I19" s="9">
        <v>7</v>
      </c>
      <c r="J19" s="9">
        <v>49458</v>
      </c>
      <c r="K19" s="9">
        <v>3858.7</v>
      </c>
    </row>
    <row r="20" spans="1:11" ht="12.75">
      <c r="A20" s="8">
        <v>2000</v>
      </c>
      <c r="B20" s="9">
        <f t="shared" si="0"/>
        <v>118905.56151799999</v>
      </c>
      <c r="C20" s="9">
        <f t="shared" si="1"/>
        <v>9497.335643</v>
      </c>
      <c r="D20" s="9">
        <f t="shared" si="2"/>
        <v>109408.22587499999</v>
      </c>
      <c r="E20" s="4">
        <v>93108.786518</v>
      </c>
      <c r="F20" s="4">
        <v>9490.335643</v>
      </c>
      <c r="G20" s="4">
        <v>83618.450875</v>
      </c>
      <c r="H20" s="9">
        <v>22016</v>
      </c>
      <c r="I20" s="9">
        <v>7</v>
      </c>
      <c r="J20" s="9">
        <v>22009</v>
      </c>
      <c r="K20" s="9">
        <v>3780.775</v>
      </c>
    </row>
    <row r="21" spans="1:11" ht="12.75">
      <c r="A21" s="8">
        <v>2001</v>
      </c>
      <c r="B21" s="9">
        <f t="shared" si="0"/>
        <v>170814.39335600002</v>
      </c>
      <c r="C21" s="9">
        <f t="shared" si="1"/>
        <v>4286.197099</v>
      </c>
      <c r="D21" s="9">
        <f t="shared" si="2"/>
        <v>166528.196257</v>
      </c>
      <c r="E21" s="4">
        <v>132376.768356</v>
      </c>
      <c r="F21" s="4">
        <v>4278.197099</v>
      </c>
      <c r="G21" s="4">
        <v>128098.571257</v>
      </c>
      <c r="H21" s="9">
        <v>35114</v>
      </c>
      <c r="I21" s="9">
        <v>8</v>
      </c>
      <c r="J21" s="9">
        <v>35107</v>
      </c>
      <c r="K21" s="9">
        <v>3322.625</v>
      </c>
    </row>
    <row r="22" spans="1:11" ht="12.75">
      <c r="A22" s="8">
        <v>2002</v>
      </c>
      <c r="B22" s="9">
        <f t="shared" si="0"/>
        <v>188060.60921399997</v>
      </c>
      <c r="C22" s="9">
        <f t="shared" si="1"/>
        <v>13788.558888</v>
      </c>
      <c r="D22" s="9">
        <f t="shared" si="2"/>
        <v>174272.05032599997</v>
      </c>
      <c r="E22" s="4">
        <v>142925.559214</v>
      </c>
      <c r="F22" s="4">
        <v>13775.558888</v>
      </c>
      <c r="G22" s="4">
        <v>129150.000326</v>
      </c>
      <c r="H22" s="9">
        <v>41698</v>
      </c>
      <c r="I22" s="9">
        <v>13</v>
      </c>
      <c r="J22" s="9">
        <v>41685</v>
      </c>
      <c r="K22" s="9">
        <v>3437.05</v>
      </c>
    </row>
    <row r="23" spans="1:11" ht="12.75">
      <c r="A23" s="8">
        <v>2003</v>
      </c>
      <c r="B23" s="9">
        <f t="shared" si="0"/>
        <v>234300.77481899998</v>
      </c>
      <c r="C23" s="9">
        <f t="shared" si="1"/>
        <v>14728.710631</v>
      </c>
      <c r="D23" s="9">
        <f t="shared" si="2"/>
        <v>219572.064188</v>
      </c>
      <c r="E23" s="4">
        <v>164643.024819</v>
      </c>
      <c r="F23" s="4">
        <v>13836.710631</v>
      </c>
      <c r="G23" s="4">
        <v>150806.314188</v>
      </c>
      <c r="H23" s="9">
        <v>66002</v>
      </c>
      <c r="I23" s="9">
        <v>892</v>
      </c>
      <c r="J23" s="9">
        <v>65110</v>
      </c>
      <c r="K23" s="9">
        <v>3655.75</v>
      </c>
    </row>
    <row r="24" spans="1:11" ht="12.75">
      <c r="A24" s="8">
        <v>2004</v>
      </c>
      <c r="B24" s="9">
        <f t="shared" si="0"/>
        <v>132563.32798200002</v>
      </c>
      <c r="C24" s="9">
        <f t="shared" si="1"/>
        <v>20555.863856</v>
      </c>
      <c r="D24" s="9">
        <f t="shared" si="2"/>
        <v>112007.464126</v>
      </c>
      <c r="E24" s="4">
        <v>93864.56637</v>
      </c>
      <c r="F24" s="4">
        <v>13273.356944</v>
      </c>
      <c r="G24" s="4">
        <v>80591.209426</v>
      </c>
      <c r="H24" s="9">
        <v>35159.761612</v>
      </c>
      <c r="I24" s="9">
        <v>7282.506912</v>
      </c>
      <c r="J24" s="9">
        <v>27877.2547</v>
      </c>
      <c r="K24" s="9">
        <v>3539</v>
      </c>
    </row>
    <row r="25" spans="1:11" ht="12.75">
      <c r="A25" s="8">
        <v>2005</v>
      </c>
      <c r="B25" s="9">
        <f t="shared" si="0"/>
        <v>87120.59362487</v>
      </c>
      <c r="C25" s="9">
        <f t="shared" si="1"/>
        <v>7606.8435979999995</v>
      </c>
      <c r="D25" s="9">
        <f t="shared" si="2"/>
        <v>79513.75002687001</v>
      </c>
      <c r="E25" s="4">
        <v>58137.560093</v>
      </c>
      <c r="F25" s="4">
        <v>5689.186255</v>
      </c>
      <c r="G25" s="4">
        <v>52448.373838</v>
      </c>
      <c r="H25" s="9">
        <v>24377.637713</v>
      </c>
      <c r="I25" s="9">
        <v>1917.657343</v>
      </c>
      <c r="J25" s="9">
        <v>22459.98037</v>
      </c>
      <c r="K25" s="9">
        <v>4605.39581887</v>
      </c>
    </row>
    <row r="26" spans="1:11" ht="12.75">
      <c r="A26" s="8">
        <v>2006</v>
      </c>
      <c r="B26" s="9">
        <f t="shared" si="0"/>
        <v>84622</v>
      </c>
      <c r="C26" s="9">
        <f t="shared" si="1"/>
        <v>2005</v>
      </c>
      <c r="D26" s="9">
        <f t="shared" si="2"/>
        <v>82617</v>
      </c>
      <c r="E26" s="4">
        <v>55278</v>
      </c>
      <c r="F26" s="4">
        <v>1400</v>
      </c>
      <c r="G26" s="4">
        <v>53877</v>
      </c>
      <c r="H26" s="9">
        <v>24461</v>
      </c>
      <c r="I26" s="9">
        <v>605</v>
      </c>
      <c r="J26" s="9">
        <v>23856</v>
      </c>
      <c r="K26" s="9">
        <v>4884</v>
      </c>
    </row>
    <row r="27" spans="1:11" ht="12.75">
      <c r="A27" s="8">
        <v>2007</v>
      </c>
      <c r="B27" s="9">
        <f t="shared" si="0"/>
        <v>99028</v>
      </c>
      <c r="C27" s="9">
        <f t="shared" si="1"/>
        <v>1332</v>
      </c>
      <c r="D27" s="9">
        <f t="shared" si="2"/>
        <v>97696</v>
      </c>
      <c r="E27" s="4">
        <v>68427</v>
      </c>
      <c r="F27" s="4">
        <v>844</v>
      </c>
      <c r="G27" s="4">
        <v>67582</v>
      </c>
      <c r="H27" s="9">
        <v>25157</v>
      </c>
      <c r="I27" s="9">
        <v>488</v>
      </c>
      <c r="J27" s="9">
        <v>24669</v>
      </c>
      <c r="K27" s="9">
        <v>5445</v>
      </c>
    </row>
    <row r="28" spans="1:11" ht="39" customHeight="1">
      <c r="A28" s="13" t="s">
        <v>13</v>
      </c>
      <c r="B28" s="14" t="s">
        <v>35</v>
      </c>
      <c r="C28" s="14"/>
      <c r="D28" s="14"/>
      <c r="E28" s="14"/>
      <c r="F28" s="14"/>
      <c r="G28" s="14"/>
      <c r="H28" s="14"/>
      <c r="I28" s="14"/>
      <c r="J28" s="14"/>
      <c r="K28" s="14"/>
    </row>
  </sheetData>
  <mergeCells count="5">
    <mergeCell ref="B28:K28"/>
    <mergeCell ref="E5:G5"/>
    <mergeCell ref="A6:K6"/>
    <mergeCell ref="A7:K7"/>
    <mergeCell ref="A8:K8"/>
  </mergeCells>
  <printOptions/>
  <pageMargins left="0.75" right="0.75" top="1" bottom="1" header="0.5" footer="0.5"/>
  <pageSetup fitToHeight="1" fitToWidth="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Federal Housing Enterprise Oversight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fpafenberg</dc:creator>
  <cp:keywords/>
  <dc:description/>
  <cp:lastModifiedBy>OFHEO</cp:lastModifiedBy>
  <cp:lastPrinted>2008-03-31T13:22:19Z</cp:lastPrinted>
  <dcterms:created xsi:type="dcterms:W3CDTF">2008-03-29T20:16:19Z</dcterms:created>
  <dcterms:modified xsi:type="dcterms:W3CDTF">2008-04-02T17:30:48Z</dcterms:modified>
  <cp:category/>
  <cp:version/>
  <cp:contentType/>
  <cp:contentStatus/>
</cp:coreProperties>
</file>