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2120" windowHeight="9108" activeTab="0"/>
  </bookViews>
  <sheets>
    <sheet name="3-19" sheetId="1" r:id="rId1"/>
  </sheets>
  <definedNames>
    <definedName name="_xlnm.Print_Area" localSheetId="0">'3-19'!$A$1:$U$65</definedName>
  </definedNames>
  <calcPr fullCalcOnLoad="1"/>
</workbook>
</file>

<file path=xl/sharedStrings.xml><?xml version="1.0" encoding="utf-8"?>
<sst xmlns="http://schemas.openxmlformats.org/spreadsheetml/2006/main" count="112" uniqueCount="84">
  <si>
    <r>
      <t xml:space="preserve">1960-91: U.S. Department of Commerce, Bureau of the Census, </t>
    </r>
    <r>
      <rPr>
        <i/>
        <sz val="9"/>
        <rFont val="Arial"/>
        <family val="2"/>
      </rPr>
      <t xml:space="preserve">Statistical Abstract of the United States, 1993 </t>
    </r>
    <r>
      <rPr>
        <sz val="9"/>
        <rFont val="Arial"/>
        <family val="2"/>
      </rPr>
      <t xml:space="preserve">(Washington, DC: 1993), table 500 and similar tables in earlier editions. </t>
    </r>
  </si>
  <si>
    <r>
      <t xml:space="preserve">1960-85:  U.S. Department of Labor, Bureau of Labor Statistics, </t>
    </r>
    <r>
      <rPr>
        <i/>
        <sz val="9"/>
        <rFont val="Arial"/>
        <family val="2"/>
      </rPr>
      <t>Employment, Hours and Earnings, United States, 1909-1994</t>
    </r>
    <r>
      <rPr>
        <sz val="9"/>
        <rFont val="Arial"/>
        <family val="2"/>
      </rPr>
      <t xml:space="preserve"> (Washington, DC: September 1994). </t>
    </r>
  </si>
  <si>
    <r>
      <t xml:space="preserve">1970-75: U.S. Department of Commerce, Bureau of the Census, </t>
    </r>
    <r>
      <rPr>
        <i/>
        <sz val="9"/>
        <rFont val="Arial"/>
        <family val="2"/>
      </rPr>
      <t xml:space="preserve">Statistical Abstract of the United </t>
    </r>
    <r>
      <rPr>
        <sz val="9"/>
        <rFont val="Arial"/>
        <family val="2"/>
      </rPr>
      <t>S</t>
    </r>
    <r>
      <rPr>
        <i/>
        <sz val="9"/>
        <rFont val="Arial"/>
        <family val="2"/>
      </rPr>
      <t>tates, 1976 (</t>
    </r>
    <r>
      <rPr>
        <sz val="9"/>
        <rFont val="Arial"/>
        <family val="2"/>
      </rPr>
      <t xml:space="preserve">Washington, DC: 1976), table 409, and U.S. Department of Transportation, U.S. Coast Guard, G-WPM, Office of Military Personnel, personal communication. </t>
    </r>
  </si>
  <si>
    <t>Air</t>
  </si>
  <si>
    <t>Trucking and warehousing</t>
  </si>
  <si>
    <t>Local and interurban passenger transit</t>
  </si>
  <si>
    <t>U</t>
  </si>
  <si>
    <t>N</t>
  </si>
  <si>
    <t>Railroad</t>
  </si>
  <si>
    <t>Water</t>
  </si>
  <si>
    <t>Liquid pipeline</t>
  </si>
  <si>
    <t>Aircraft and parts</t>
  </si>
  <si>
    <t>Motor vehicles and equipment</t>
  </si>
  <si>
    <t>Railroad equipment</t>
  </si>
  <si>
    <t>Ship and boat building and repairing</t>
  </si>
  <si>
    <t>Tires and inner tubes</t>
  </si>
  <si>
    <t>Automotive and home supply stores</t>
  </si>
  <si>
    <t>Automotive repair, services, and parking</t>
  </si>
  <si>
    <t>Highway and street construction</t>
  </si>
  <si>
    <t>New and used car dealers</t>
  </si>
  <si>
    <t>Government employment:</t>
  </si>
  <si>
    <t>USDOT:</t>
  </si>
  <si>
    <t>SIC</t>
  </si>
  <si>
    <t>Motor vehicles, parts, and supplies</t>
  </si>
  <si>
    <t>State and local highway:</t>
  </si>
  <si>
    <t>Gasoline service stations</t>
  </si>
  <si>
    <t>All data, except as noted:</t>
  </si>
  <si>
    <r>
      <t>b</t>
    </r>
    <r>
      <rPr>
        <sz val="9"/>
        <rFont val="Arial"/>
        <family val="2"/>
      </rPr>
      <t xml:space="preserve"> Excludes farm employment.</t>
    </r>
  </si>
  <si>
    <r>
      <t>c</t>
    </r>
    <r>
      <rPr>
        <sz val="9"/>
        <rFont val="Arial"/>
        <family val="2"/>
      </rPr>
      <t xml:space="preserve"> Does not include drivers employed by school districts.</t>
    </r>
  </si>
  <si>
    <r>
      <t xml:space="preserve">d  </t>
    </r>
    <r>
      <rPr>
        <sz val="9"/>
        <rFont val="Arial"/>
        <family val="2"/>
      </rPr>
      <t>Difference between the total of SIC 41 and the sum of 411, 412, 413, and 415.</t>
    </r>
  </si>
  <si>
    <r>
      <t xml:space="preserve">a  </t>
    </r>
    <r>
      <rPr>
        <sz val="9"/>
        <rFont val="Arial"/>
        <family val="2"/>
      </rPr>
      <t>Annual averages.</t>
    </r>
  </si>
  <si>
    <r>
      <t xml:space="preserve">1980-85: U.S. Department of Transportation, Office of the Secretary of Transportation, </t>
    </r>
    <r>
      <rPr>
        <i/>
        <sz val="9"/>
        <rFont val="Arial"/>
        <family val="2"/>
      </rPr>
      <t xml:space="preserve">DOT Employment Facts, A Report to Management </t>
    </r>
    <r>
      <rPr>
        <sz val="9"/>
        <rFont val="Arial"/>
        <family val="2"/>
      </rPr>
      <t xml:space="preserve">(Washington, DC: Annual issues). </t>
    </r>
  </si>
  <si>
    <t>Intercity and rural bus</t>
  </si>
  <si>
    <t>Local and suburban</t>
  </si>
  <si>
    <t>Taxi</t>
  </si>
  <si>
    <t xml:space="preserve">The employment totals in tables 3-19 and 3-20 differ.  Table 3-19 shows employment in transportation and selected transportation-related industries.  Table 3-20 shows employment by transportation occupation. Some employees of transportation industries have nontransportation jobs (e.g., a bookkeeper in a trucking firm), and some people with transportation occupations do not work in the transportation industry (e.g., a truck driver for a construction firm). Beginning in January 1999, data are not strictly comparable with data for 1998 and earlier years because of revisions in the population controls used in the household survey. </t>
  </si>
  <si>
    <t>SOURCES</t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</si>
  <si>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</si>
  <si>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</si>
  <si>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</si>
  <si>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</si>
  <si>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</si>
  <si>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</si>
  <si>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</si>
  <si>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</si>
  <si>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</si>
  <si>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</si>
  <si>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</si>
  <si>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</si>
  <si>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</si>
  <si>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</si>
  <si>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</si>
  <si>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</si>
  <si>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</si>
  <si>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</si>
  <si>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For-hire transportation industry, total</t>
  </si>
  <si>
    <t>Equipment manufacturing (SIC 37 and SIC 301), total</t>
  </si>
  <si>
    <t>Related industries, total</t>
  </si>
  <si>
    <t>Transportation-related labor force, total</t>
  </si>
  <si>
    <t>NOTE</t>
  </si>
  <si>
    <r>
      <t>TOTAL U.S. labor force</t>
    </r>
    <r>
      <rPr>
        <vertAlign val="superscript"/>
        <sz val="11"/>
        <rFont val="Arial Narrow"/>
        <family val="2"/>
      </rPr>
      <t>b</t>
    </r>
  </si>
  <si>
    <r>
      <t>School bus</t>
    </r>
    <r>
      <rPr>
        <vertAlign val="superscript"/>
        <sz val="11"/>
        <rFont val="Arial Narrow"/>
        <family val="2"/>
      </rPr>
      <t>c</t>
    </r>
  </si>
  <si>
    <r>
      <t>Other local and interurban</t>
    </r>
    <r>
      <rPr>
        <vertAlign val="superscript"/>
        <sz val="11"/>
        <rFont val="Arial Narrow"/>
        <family val="2"/>
      </rPr>
      <t>d</t>
    </r>
  </si>
  <si>
    <t>2002</t>
  </si>
  <si>
    <t>Gas production and distribution</t>
  </si>
  <si>
    <r>
      <t>Transportation services</t>
    </r>
    <r>
      <rPr>
        <vertAlign val="superscript"/>
        <sz val="11"/>
        <rFont val="Arial Narrow"/>
        <family val="2"/>
      </rPr>
      <t>e</t>
    </r>
  </si>
  <si>
    <r>
      <t>Other</t>
    </r>
    <r>
      <rPr>
        <vertAlign val="superscript"/>
        <sz val="11"/>
        <rFont val="Arial Narrow"/>
        <family val="2"/>
      </rPr>
      <t>f</t>
    </r>
  </si>
  <si>
    <r>
      <t>Other automotive retail</t>
    </r>
    <r>
      <rPr>
        <vertAlign val="superscript"/>
        <sz val="11"/>
        <rFont val="Arial Narrow"/>
        <family val="2"/>
      </rPr>
      <t>g</t>
    </r>
  </si>
  <si>
    <r>
      <t xml:space="preserve">e  </t>
    </r>
    <r>
      <rPr>
        <sz val="9"/>
        <rFont val="Arial"/>
        <family val="2"/>
      </rPr>
      <t xml:space="preserve">Transportation services are defined as services incidental to transportation, such as forwarding and packing; motor vehicle inspections; and freight broker, tour operator, and travel agency services,  etc. </t>
    </r>
  </si>
  <si>
    <r>
      <t>f</t>
    </r>
    <r>
      <rPr>
        <sz val="9"/>
        <rFont val="Arial"/>
        <family val="2"/>
      </rPr>
      <t xml:space="preserve"> The difference between the total of SIC 37 and the sum of 371, 372, 373, and 374.</t>
    </r>
  </si>
  <si>
    <r>
      <t>g</t>
    </r>
    <r>
      <rPr>
        <sz val="9"/>
        <rFont val="Arial"/>
        <family val="2"/>
      </rPr>
      <t xml:space="preserve"> The difference between the total of SIC 55 and the sum of 551, 553, and 554.</t>
    </r>
  </si>
  <si>
    <r>
      <t xml:space="preserve">h  </t>
    </r>
    <r>
      <rPr>
        <sz val="9"/>
        <rFont val="Arial"/>
        <family val="2"/>
      </rPr>
      <t>Not all government agencies are included (e.g., the National Transportation Safety Board).</t>
    </r>
  </si>
  <si>
    <r>
      <t xml:space="preserve">i  </t>
    </r>
    <r>
      <rPr>
        <sz val="9"/>
        <rFont val="Arial"/>
        <family val="2"/>
      </rPr>
      <t xml:space="preserve">U.S. Department of Transportation was created in 1966. Data are for fiscal year and include permanent civilians as well as temporary employees and military. </t>
    </r>
  </si>
  <si>
    <r>
      <t>U.S. DOT</t>
    </r>
    <r>
      <rPr>
        <vertAlign val="superscript"/>
        <sz val="11"/>
        <rFont val="Arial Narrow"/>
        <family val="2"/>
      </rPr>
      <t>i</t>
    </r>
  </si>
  <si>
    <r>
      <t xml:space="preserve">j  </t>
    </r>
    <r>
      <rPr>
        <sz val="9"/>
        <rFont val="Arial"/>
        <family val="2"/>
      </rPr>
      <t xml:space="preserve">Full-time equivalent employment. Data prior to 1986 are not directly comparable to data from later years due to a change in the way full-time equivalent was calculated. Full-time equivalent was not calculated for 1985. </t>
    </r>
  </si>
  <si>
    <r>
      <t xml:space="preserve">k  </t>
    </r>
    <r>
      <rPr>
        <sz val="9"/>
        <rFont val="Arial"/>
        <family val="2"/>
      </rPr>
      <t xml:space="preserve">Due to a change in the reference period, from October to March, the October 1996 Annual Survey of Government Employment and Payroll was not conducted. </t>
    </r>
  </si>
  <si>
    <r>
      <t>State and local highway</t>
    </r>
    <r>
      <rPr>
        <vertAlign val="superscript"/>
        <sz val="11"/>
        <rFont val="Arial Narrow"/>
        <family val="2"/>
      </rPr>
      <t>j</t>
    </r>
  </si>
  <si>
    <r>
      <t xml:space="preserve">1990-2003: Ibid., </t>
    </r>
    <r>
      <rPr>
        <i/>
        <sz val="9"/>
        <rFont val="Arial"/>
        <family val="2"/>
      </rPr>
      <t>DOT Workforce Demographics</t>
    </r>
    <r>
      <rPr>
        <sz val="9"/>
        <rFont val="Arial"/>
        <family val="2"/>
      </rPr>
      <t xml:space="preserve"> (Washington, DC : Annual issues).</t>
    </r>
  </si>
  <si>
    <t>1992-2003: Ibid., Internet site http://www.census.gov/pub/govs/www/apesstl.html as of July 24, 2002 and July 6, 2004.</t>
  </si>
  <si>
    <t>(k) N</t>
  </si>
  <si>
    <r>
      <t>Table 3-19a:  Employment in For-Hire Transportation and Selected Transportation-Related Industries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(Standard Industrial Classification [SIC] basis) (Thousands) </t>
    </r>
  </si>
  <si>
    <r>
      <t>Government employment, total</t>
    </r>
    <r>
      <rPr>
        <b/>
        <vertAlign val="superscript"/>
        <sz val="11"/>
        <rFont val="Arial Narrow"/>
        <family val="2"/>
      </rPr>
      <t>h</t>
    </r>
  </si>
  <si>
    <t>1990-2002: Ibid., Internet site www.bls.gov, database query for individual series as of June 11, 2003.</t>
  </si>
  <si>
    <r>
      <t>KEY:</t>
    </r>
    <r>
      <rPr>
        <sz val="9"/>
        <rFont val="Arial"/>
        <family val="2"/>
      </rPr>
      <t xml:space="preserve">  N = data do not exist; SIC = Standard Industrial Classification; U = data are not available.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</si>
</sst>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&quot;$&quot;#,##0\ ;\(&quot;$&quot;#,##0\)"/>
    <numFmt numFmtId="167" formatCode="#,##0.0"/>
    <numFmt numFmtId="168" formatCode="&quot;(R)&quot;\ #,##0;&quot;(R) -&quot;#,##0;&quot;(R) &quot;\ 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165" fontId="4" fillId="0" borderId="1">
      <alignment horizontal="right" vertical="center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0" borderId="1">
      <alignment horizontal="left" vertical="center"/>
      <protection/>
    </xf>
    <xf numFmtId="0" fontId="9" fillId="2" borderId="0">
      <alignment horizontal="centerContinuous" wrapText="1"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9">
    <xf numFmtId="0" fontId="0" fillId="0" borderId="0" xfId="0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30" applyFont="1" applyFill="1" applyBorder="1" applyAlignment="1">
      <alignment horizontal="left"/>
      <protection/>
    </xf>
    <xf numFmtId="3" fontId="1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0" fillId="0" borderId="0" xfId="32" applyFont="1" applyFill="1" applyBorder="1" applyAlignment="1">
      <alignment horizontal="left"/>
      <protection/>
    </xf>
    <xf numFmtId="0" fontId="21" fillId="0" borderId="0" xfId="0" applyFont="1" applyFill="1" applyAlignment="1">
      <alignment/>
    </xf>
    <xf numFmtId="0" fontId="21" fillId="0" borderId="0" xfId="30" applyFont="1" applyFill="1" applyBorder="1" applyAlignment="1">
      <alignment horizontal="left"/>
      <protection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7" fillId="0" borderId="0" xfId="30" applyFont="1" applyFill="1" applyBorder="1" applyAlignment="1">
      <alignment horizontal="left"/>
      <protection/>
    </xf>
    <xf numFmtId="0" fontId="15" fillId="0" borderId="0" xfId="38" applyFont="1" applyFill="1" applyAlignment="1">
      <alignment horizontal="left"/>
      <protection/>
    </xf>
    <xf numFmtId="0" fontId="16" fillId="0" borderId="0" xfId="38" applyFont="1" applyFill="1" applyAlignment="1">
      <alignment horizontal="left"/>
      <protection/>
    </xf>
    <xf numFmtId="0" fontId="16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left"/>
    </xf>
    <xf numFmtId="0" fontId="21" fillId="0" borderId="5" xfId="0" applyFont="1" applyFill="1" applyBorder="1" applyAlignment="1">
      <alignment/>
    </xf>
    <xf numFmtId="0" fontId="17" fillId="0" borderId="0" xfId="30" applyNumberFormat="1" applyFont="1" applyFill="1" applyBorder="1" applyAlignment="1">
      <alignment horizontal="left" wrapText="1"/>
      <protection/>
    </xf>
    <xf numFmtId="3" fontId="21" fillId="0" borderId="0" xfId="22" applyNumberFormat="1" applyFont="1" applyFill="1" applyBorder="1" applyAlignment="1">
      <alignment horizontal="right" wrapText="1"/>
      <protection/>
    </xf>
    <xf numFmtId="3" fontId="21" fillId="0" borderId="0" xfId="0" applyNumberFormat="1" applyFont="1" applyFill="1" applyAlignment="1">
      <alignment horizontal="right" wrapText="1"/>
    </xf>
    <xf numFmtId="3" fontId="20" fillId="0" borderId="0" xfId="22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3" fontId="21" fillId="0" borderId="0" xfId="0" applyNumberFormat="1" applyFont="1" applyFill="1" applyBorder="1" applyAlignment="1">
      <alignment horizontal="right" wrapText="1"/>
    </xf>
    <xf numFmtId="0" fontId="20" fillId="0" borderId="6" xfId="33" applyFont="1" applyFill="1" applyBorder="1" applyAlignment="1">
      <alignment horizontal="center" wrapText="1"/>
      <protection/>
    </xf>
    <xf numFmtId="49" fontId="20" fillId="0" borderId="6" xfId="33" applyNumberFormat="1" applyFont="1" applyFill="1" applyBorder="1" applyAlignment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20" fillId="0" borderId="0" xfId="32" applyFont="1" applyFill="1" applyBorder="1" applyAlignment="1">
      <alignment horizontal="left" wrapText="1"/>
      <protection/>
    </xf>
    <xf numFmtId="3" fontId="20" fillId="0" borderId="0" xfId="0" applyNumberFormat="1" applyFont="1" applyFill="1" applyBorder="1" applyAlignment="1">
      <alignment horizontal="right" wrapText="1"/>
    </xf>
    <xf numFmtId="0" fontId="21" fillId="0" borderId="5" xfId="30" applyFont="1" applyFill="1" applyBorder="1" applyAlignment="1">
      <alignment horizontal="left"/>
      <protection/>
    </xf>
    <xf numFmtId="3" fontId="21" fillId="0" borderId="5" xfId="22" applyNumberFormat="1" applyFont="1" applyFill="1" applyBorder="1" applyAlignment="1">
      <alignment horizontal="right" wrapText="1"/>
      <protection/>
    </xf>
    <xf numFmtId="3" fontId="21" fillId="0" borderId="5" xfId="0" applyNumberFormat="1" applyFont="1" applyFill="1" applyBorder="1" applyAlignment="1">
      <alignment horizontal="right" wrapText="1"/>
    </xf>
    <xf numFmtId="0" fontId="21" fillId="0" borderId="0" xfId="33" applyFont="1" applyFill="1" applyBorder="1" applyAlignment="1">
      <alignment horizontal="left"/>
      <protection/>
    </xf>
    <xf numFmtId="3" fontId="21" fillId="0" borderId="0" xfId="33" applyNumberFormat="1" applyFont="1" applyFill="1" applyBorder="1" applyAlignment="1">
      <alignment horizontal="right" wrapText="1"/>
      <protection/>
    </xf>
    <xf numFmtId="3" fontId="27" fillId="0" borderId="0" xfId="0" applyNumberFormat="1" applyFont="1" applyFill="1" applyBorder="1" applyAlignment="1">
      <alignment horizontal="right" vertical="center"/>
    </xf>
    <xf numFmtId="3" fontId="21" fillId="0" borderId="5" xfId="22" applyNumberFormat="1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 horizontal="left" wrapText="1"/>
    </xf>
    <xf numFmtId="0" fontId="16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16" fillId="0" borderId="0" xfId="0" applyNumberFormat="1" applyFont="1" applyFill="1" applyAlignment="1">
      <alignment horizontal="left" wrapText="1"/>
    </xf>
    <xf numFmtId="0" fontId="17" fillId="0" borderId="0" xfId="30" applyNumberFormat="1" applyFont="1" applyFill="1" applyBorder="1" applyAlignment="1">
      <alignment horizontal="left" wrapText="1"/>
      <protection/>
    </xf>
    <xf numFmtId="0" fontId="16" fillId="0" borderId="0" xfId="38" applyNumberFormat="1" applyFont="1" applyFill="1" applyAlignment="1">
      <alignment horizontal="left" wrapText="1"/>
      <protection/>
    </xf>
    <xf numFmtId="0" fontId="15" fillId="0" borderId="0" xfId="38" applyNumberFormat="1" applyFont="1" applyFill="1" applyAlignment="1">
      <alignment horizontal="left" wrapText="1"/>
      <protection/>
    </xf>
    <xf numFmtId="0" fontId="15" fillId="0" borderId="0" xfId="30" applyNumberFormat="1" applyFont="1" applyFill="1" applyBorder="1" applyAlignment="1">
      <alignment horizontal="left" wrapText="1"/>
      <protection/>
    </xf>
    <xf numFmtId="0" fontId="17" fillId="0" borderId="0" xfId="30" applyFont="1" applyFill="1" applyBorder="1" applyAlignment="1">
      <alignment horizontal="left" wrapText="1"/>
      <protection/>
    </xf>
    <xf numFmtId="0" fontId="15" fillId="0" borderId="7" xfId="38" applyFont="1" applyFill="1" applyBorder="1" applyAlignment="1">
      <alignment horizontal="left"/>
      <protection/>
    </xf>
    <xf numFmtId="49" fontId="24" fillId="0" borderId="0" xfId="0" applyNumberFormat="1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8" fillId="0" borderId="5" xfId="47" applyFont="1" applyFill="1" applyBorder="1" applyAlignment="1">
      <alignment wrapText="1"/>
      <protection/>
    </xf>
    <xf numFmtId="0" fontId="19" fillId="0" borderId="5" xfId="0" applyFont="1" applyFill="1" applyBorder="1" applyAlignment="1">
      <alignment wrapText="1"/>
    </xf>
    <xf numFmtId="0" fontId="0" fillId="0" borderId="5" xfId="0" applyBorder="1" applyAlignment="1">
      <alignment wrapText="1"/>
    </xf>
  </cellXfs>
  <cellStyles count="40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a_Sheet1" xfId="22"/>
    <cellStyle name="Date" xfId="23"/>
    <cellStyle name="Fixed" xfId="24"/>
    <cellStyle name="Followed Hyperlink" xfId="25"/>
    <cellStyle name="Heading 1" xfId="26"/>
    <cellStyle name="Heading 2" xfId="27"/>
    <cellStyle name="Hed Side" xfId="28"/>
    <cellStyle name="Hed Side bold" xfId="29"/>
    <cellStyle name="Hed Side Regular" xfId="30"/>
    <cellStyle name="Hed Side_1-43A" xfId="31"/>
    <cellStyle name="Hed Side_Sheet1" xfId="32"/>
    <cellStyle name="Hed Top" xfId="33"/>
    <cellStyle name="Hyperlink" xfId="34"/>
    <cellStyle name="Percent" xfId="35"/>
    <cellStyle name="Source Hed" xfId="36"/>
    <cellStyle name="Source Superscript" xfId="37"/>
    <cellStyle name="Source Text" xfId="38"/>
    <cellStyle name="Superscript" xfId="39"/>
    <cellStyle name="Table Data" xfId="40"/>
    <cellStyle name="Table Head Top" xfId="41"/>
    <cellStyle name="Table Hed Side" xfId="42"/>
    <cellStyle name="Table Title" xfId="43"/>
    <cellStyle name="Title Text" xfId="44"/>
    <cellStyle name="Title Text 1" xfId="45"/>
    <cellStyle name="Title Text 2" xfId="46"/>
    <cellStyle name="Title-1" xfId="47"/>
    <cellStyle name="Title-2" xfId="48"/>
    <cellStyle name="Title-3" xfId="49"/>
    <cellStyle name="Total" xfId="50"/>
    <cellStyle name="Wrap" xfId="51"/>
    <cellStyle name="Wrap Bold" xfId="52"/>
    <cellStyle name="Wrap Title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SheetLayoutView="50" workbookViewId="0" topLeftCell="A1">
      <selection activeCell="A1" sqref="A1:U1"/>
    </sheetView>
  </sheetViews>
  <sheetFormatPr defaultColWidth="9.140625" defaultRowHeight="12.75"/>
  <cols>
    <col min="1" max="1" width="5.140625" style="2" customWidth="1"/>
    <col min="2" max="2" width="37.7109375" style="2" customWidth="1"/>
    <col min="3" max="19" width="8.00390625" style="2" customWidth="1"/>
    <col min="20" max="21" width="8.140625" style="2" customWidth="1"/>
    <col min="22" max="255" width="8.8515625" style="2" customWidth="1"/>
    <col min="256" max="16384" width="9.140625" style="2" customWidth="1"/>
  </cols>
  <sheetData>
    <row r="1" spans="1:21" ht="16.5" customHeight="1" thickBot="1">
      <c r="A1" s="56" t="s">
        <v>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U1" s="58"/>
    </row>
    <row r="2" spans="1:21" s="34" customFormat="1" ht="13.5">
      <c r="A2" s="32" t="s">
        <v>22</v>
      </c>
      <c r="B2" s="32"/>
      <c r="C2" s="33" t="s">
        <v>37</v>
      </c>
      <c r="D2" s="33" t="s">
        <v>38</v>
      </c>
      <c r="E2" s="33" t="s">
        <v>39</v>
      </c>
      <c r="F2" s="33" t="s">
        <v>40</v>
      </c>
      <c r="G2" s="33" t="s">
        <v>41</v>
      </c>
      <c r="H2" s="33" t="s">
        <v>42</v>
      </c>
      <c r="I2" s="33" t="s">
        <v>43</v>
      </c>
      <c r="J2" s="33" t="s">
        <v>44</v>
      </c>
      <c r="K2" s="33" t="s">
        <v>45</v>
      </c>
      <c r="L2" s="33" t="s">
        <v>46</v>
      </c>
      <c r="M2" s="33" t="s">
        <v>47</v>
      </c>
      <c r="N2" s="33" t="s">
        <v>48</v>
      </c>
      <c r="O2" s="33" t="s">
        <v>49</v>
      </c>
      <c r="P2" s="33" t="s">
        <v>50</v>
      </c>
      <c r="Q2" s="33" t="s">
        <v>51</v>
      </c>
      <c r="R2" s="33" t="s">
        <v>52</v>
      </c>
      <c r="S2" s="33" t="s">
        <v>53</v>
      </c>
      <c r="T2" s="33" t="s">
        <v>54</v>
      </c>
      <c r="U2" s="33" t="s">
        <v>63</v>
      </c>
    </row>
    <row r="3" spans="1:21" s="4" customFormat="1" ht="19.5" customHeight="1">
      <c r="A3" s="10"/>
      <c r="B3" s="40" t="s">
        <v>60</v>
      </c>
      <c r="C3" s="41">
        <v>54189</v>
      </c>
      <c r="D3" s="41">
        <v>60763</v>
      </c>
      <c r="E3" s="41">
        <v>70880</v>
      </c>
      <c r="F3" s="41">
        <v>76945</v>
      </c>
      <c r="G3" s="41">
        <v>90406</v>
      </c>
      <c r="H3" s="41">
        <v>97387</v>
      </c>
      <c r="I3" s="41">
        <v>109403</v>
      </c>
      <c r="J3" s="41">
        <v>108249</v>
      </c>
      <c r="K3" s="41">
        <v>108601</v>
      </c>
      <c r="L3" s="41">
        <v>110713</v>
      </c>
      <c r="M3" s="41">
        <v>114163</v>
      </c>
      <c r="N3" s="41">
        <v>117191</v>
      </c>
      <c r="O3" s="41">
        <v>119608</v>
      </c>
      <c r="P3" s="41">
        <v>122690</v>
      </c>
      <c r="Q3" s="41">
        <v>125865</v>
      </c>
      <c r="R3" s="26">
        <v>128916</v>
      </c>
      <c r="S3" s="26">
        <v>131720</v>
      </c>
      <c r="T3" s="26">
        <v>131922</v>
      </c>
      <c r="U3" s="26">
        <v>130791</v>
      </c>
    </row>
    <row r="4" spans="1:24" s="3" customFormat="1" ht="13.5">
      <c r="A4" s="12"/>
      <c r="B4" s="11" t="s">
        <v>58</v>
      </c>
      <c r="C4" s="27">
        <v>5160</v>
      </c>
      <c r="D4" s="27">
        <v>5737</v>
      </c>
      <c r="E4" s="27">
        <v>6128</v>
      </c>
      <c r="F4" s="27">
        <v>7834</v>
      </c>
      <c r="G4" s="27">
        <v>8488</v>
      </c>
      <c r="H4" s="27">
        <v>9211</v>
      </c>
      <c r="I4" s="27">
        <v>10093</v>
      </c>
      <c r="J4" s="27">
        <v>9836</v>
      </c>
      <c r="K4" s="27">
        <v>9713</v>
      </c>
      <c r="L4" s="27">
        <v>9858</v>
      </c>
      <c r="M4" s="27">
        <v>10189</v>
      </c>
      <c r="N4" s="27">
        <v>10501</v>
      </c>
      <c r="O4" s="27">
        <v>10215</v>
      </c>
      <c r="P4" s="27">
        <v>11002</v>
      </c>
      <c r="Q4" s="27">
        <v>11262</v>
      </c>
      <c r="R4" s="27">
        <v>11523</v>
      </c>
      <c r="S4" s="27">
        <v>11664</v>
      </c>
      <c r="T4" s="27">
        <v>11585</v>
      </c>
      <c r="U4" s="27">
        <v>11342.523000000001</v>
      </c>
      <c r="V4" s="27"/>
      <c r="W4" s="27"/>
      <c r="X4" s="27"/>
    </row>
    <row r="5" spans="1:21" s="4" customFormat="1" ht="13.5">
      <c r="A5" s="10"/>
      <c r="B5" s="11" t="s">
        <v>55</v>
      </c>
      <c r="C5" s="27">
        <v>2395</v>
      </c>
      <c r="D5" s="27">
        <v>2683</v>
      </c>
      <c r="E5" s="27">
        <v>2855</v>
      </c>
      <c r="F5" s="27">
        <v>2796</v>
      </c>
      <c r="G5" s="27">
        <v>3128</v>
      </c>
      <c r="H5" s="27">
        <v>3172</v>
      </c>
      <c r="I5" s="27">
        <v>3675</v>
      </c>
      <c r="J5" s="27">
        <v>3661</v>
      </c>
      <c r="K5" s="27">
        <v>3659</v>
      </c>
      <c r="L5" s="27">
        <v>3759</v>
      </c>
      <c r="M5" s="27">
        <v>3920</v>
      </c>
      <c r="N5" s="27">
        <v>4057</v>
      </c>
      <c r="O5" s="27">
        <v>4166</v>
      </c>
      <c r="P5" s="27">
        <v>4264</v>
      </c>
      <c r="Q5" s="27">
        <v>4410</v>
      </c>
      <c r="R5" s="27">
        <v>4545</v>
      </c>
      <c r="S5" s="27">
        <v>4645</v>
      </c>
      <c r="T5" s="27">
        <v>4622</v>
      </c>
      <c r="U5" s="27">
        <v>4438</v>
      </c>
    </row>
    <row r="6" spans="1:21" s="3" customFormat="1" ht="13.5">
      <c r="A6" s="12">
        <v>45</v>
      </c>
      <c r="B6" s="13" t="s">
        <v>3</v>
      </c>
      <c r="C6" s="25">
        <v>191</v>
      </c>
      <c r="D6" s="25">
        <v>229</v>
      </c>
      <c r="E6" s="25">
        <v>351.7</v>
      </c>
      <c r="F6" s="25">
        <v>362.8</v>
      </c>
      <c r="G6" s="25">
        <v>453</v>
      </c>
      <c r="H6" s="25">
        <v>521.8</v>
      </c>
      <c r="I6" s="25">
        <v>967.6</v>
      </c>
      <c r="J6" s="25">
        <v>961.8</v>
      </c>
      <c r="K6" s="25">
        <v>964</v>
      </c>
      <c r="L6" s="25">
        <v>988.2</v>
      </c>
      <c r="M6" s="25">
        <v>1023</v>
      </c>
      <c r="N6" s="25">
        <v>1068.3</v>
      </c>
      <c r="O6" s="25">
        <v>1107.4</v>
      </c>
      <c r="P6" s="25">
        <v>1133.9</v>
      </c>
      <c r="Q6" s="25">
        <v>1180.6</v>
      </c>
      <c r="R6" s="26">
        <v>1226.7</v>
      </c>
      <c r="S6" s="26">
        <v>1279.9</v>
      </c>
      <c r="T6" s="26">
        <v>1266</v>
      </c>
      <c r="U6" s="26">
        <v>1161.4</v>
      </c>
    </row>
    <row r="7" spans="1:21" s="3" customFormat="1" ht="13.5">
      <c r="A7" s="12">
        <v>42</v>
      </c>
      <c r="B7" s="13" t="s">
        <v>4</v>
      </c>
      <c r="C7" s="25">
        <v>855.9</v>
      </c>
      <c r="D7" s="25">
        <v>963.5</v>
      </c>
      <c r="E7" s="25">
        <v>1082.6</v>
      </c>
      <c r="F7" s="25">
        <v>1107.6</v>
      </c>
      <c r="G7" s="25">
        <v>1280.2</v>
      </c>
      <c r="H7" s="25">
        <v>1361.3</v>
      </c>
      <c r="I7" s="25">
        <v>1395.2</v>
      </c>
      <c r="J7" s="25">
        <v>1377.8</v>
      </c>
      <c r="K7" s="25">
        <v>1384.6</v>
      </c>
      <c r="L7" s="25">
        <v>1443.6</v>
      </c>
      <c r="M7" s="25">
        <v>1526.1</v>
      </c>
      <c r="N7" s="25">
        <v>1587.1</v>
      </c>
      <c r="O7" s="25">
        <v>1636.8</v>
      </c>
      <c r="P7" s="25">
        <v>1676.7</v>
      </c>
      <c r="Q7" s="25">
        <v>1744</v>
      </c>
      <c r="R7" s="26">
        <v>1809.9</v>
      </c>
      <c r="S7" s="26">
        <v>1846.7</v>
      </c>
      <c r="T7" s="26">
        <v>1847.8</v>
      </c>
      <c r="U7" s="26">
        <v>1826.1</v>
      </c>
    </row>
    <row r="8" spans="1:21" s="3" customFormat="1" ht="13.5">
      <c r="A8" s="12">
        <v>41</v>
      </c>
      <c r="B8" s="13" t="s">
        <v>5</v>
      </c>
      <c r="C8" s="25">
        <f aca="true" t="shared" si="0" ref="C8:J8">SUM(C9:C13)</f>
        <v>284.4</v>
      </c>
      <c r="D8" s="25">
        <f t="shared" si="0"/>
        <v>268.8</v>
      </c>
      <c r="E8" s="25">
        <f t="shared" si="0"/>
        <v>280.5</v>
      </c>
      <c r="F8" s="25">
        <f t="shared" si="0"/>
        <v>270.3</v>
      </c>
      <c r="G8" s="25">
        <f t="shared" si="0"/>
        <v>264.6</v>
      </c>
      <c r="H8" s="25">
        <f t="shared" si="0"/>
        <v>277.1</v>
      </c>
      <c r="I8" s="25">
        <f t="shared" si="0"/>
        <v>337.8</v>
      </c>
      <c r="J8" s="25">
        <f t="shared" si="0"/>
        <v>354.1</v>
      </c>
      <c r="K8" s="25">
        <f>SUM(K9:K13)</f>
        <v>361.4</v>
      </c>
      <c r="L8" s="25">
        <v>379.4</v>
      </c>
      <c r="M8" s="25">
        <v>404</v>
      </c>
      <c r="N8" s="25">
        <v>419.2</v>
      </c>
      <c r="O8" s="25">
        <v>436.9</v>
      </c>
      <c r="P8" s="25">
        <v>452.4</v>
      </c>
      <c r="Q8" s="25">
        <v>468.5</v>
      </c>
      <c r="R8" s="26">
        <v>477.7</v>
      </c>
      <c r="S8" s="26">
        <v>476.2</v>
      </c>
      <c r="T8" s="26">
        <v>479.2</v>
      </c>
      <c r="U8" s="26">
        <v>472.4</v>
      </c>
    </row>
    <row r="9" spans="1:21" s="3" customFormat="1" ht="13.5">
      <c r="A9" s="12">
        <v>413</v>
      </c>
      <c r="B9" s="13" t="s">
        <v>32</v>
      </c>
      <c r="C9" s="25">
        <v>40.5</v>
      </c>
      <c r="D9" s="25">
        <v>41.8</v>
      </c>
      <c r="E9" s="25">
        <v>43.4</v>
      </c>
      <c r="F9" s="25">
        <v>39.9</v>
      </c>
      <c r="G9" s="25">
        <v>37.9</v>
      </c>
      <c r="H9" s="25">
        <v>34.8</v>
      </c>
      <c r="I9" s="25">
        <v>26.1</v>
      </c>
      <c r="J9" s="25">
        <v>24.4</v>
      </c>
      <c r="K9" s="25">
        <v>22.9</v>
      </c>
      <c r="L9" s="25">
        <v>22.4</v>
      </c>
      <c r="M9" s="25">
        <v>23.6</v>
      </c>
      <c r="N9" s="25">
        <v>23.8</v>
      </c>
      <c r="O9" s="25">
        <v>23.8</v>
      </c>
      <c r="P9" s="25">
        <v>22.2</v>
      </c>
      <c r="Q9" s="25">
        <v>24.4</v>
      </c>
      <c r="R9" s="26">
        <v>23.8</v>
      </c>
      <c r="S9" s="26">
        <v>24.7</v>
      </c>
      <c r="T9" s="26">
        <v>25.1</v>
      </c>
      <c r="U9" s="26">
        <v>23</v>
      </c>
    </row>
    <row r="10" spans="1:21" s="3" customFormat="1" ht="13.5">
      <c r="A10" s="12">
        <v>411</v>
      </c>
      <c r="B10" s="13" t="s">
        <v>33</v>
      </c>
      <c r="C10" s="25" t="s">
        <v>6</v>
      </c>
      <c r="D10" s="25" t="s">
        <v>6</v>
      </c>
      <c r="E10" s="25" t="s">
        <v>6</v>
      </c>
      <c r="F10" s="25">
        <v>69.4</v>
      </c>
      <c r="G10" s="25">
        <v>78.6</v>
      </c>
      <c r="H10" s="25">
        <v>92.1</v>
      </c>
      <c r="I10" s="25">
        <v>140.5</v>
      </c>
      <c r="J10" s="25">
        <v>155.3</v>
      </c>
      <c r="K10" s="25">
        <v>162.4</v>
      </c>
      <c r="L10" s="25">
        <v>176.1</v>
      </c>
      <c r="M10" s="25">
        <v>193.8</v>
      </c>
      <c r="N10" s="25">
        <v>202.8</v>
      </c>
      <c r="O10" s="25">
        <v>217.6</v>
      </c>
      <c r="P10" s="25">
        <v>229.3</v>
      </c>
      <c r="Q10" s="25">
        <v>236.1</v>
      </c>
      <c r="R10" s="26">
        <v>238.1</v>
      </c>
      <c r="S10" s="26">
        <v>232.6</v>
      </c>
      <c r="T10" s="26">
        <v>236.3</v>
      </c>
      <c r="U10" s="26">
        <v>234.6</v>
      </c>
    </row>
    <row r="11" spans="1:21" s="3" customFormat="1" ht="15.75">
      <c r="A11" s="12">
        <v>415</v>
      </c>
      <c r="B11" s="13" t="s">
        <v>61</v>
      </c>
      <c r="C11" s="25" t="s">
        <v>7</v>
      </c>
      <c r="D11" s="25" t="s">
        <v>7</v>
      </c>
      <c r="E11" s="25" t="s">
        <v>7</v>
      </c>
      <c r="F11" s="25">
        <v>64.8</v>
      </c>
      <c r="G11" s="25">
        <v>79.9</v>
      </c>
      <c r="H11" s="25">
        <v>90.8</v>
      </c>
      <c r="I11" s="25">
        <v>111.2</v>
      </c>
      <c r="J11" s="25">
        <v>114.7</v>
      </c>
      <c r="K11" s="25">
        <v>117.9</v>
      </c>
      <c r="L11" s="25">
        <v>121.5</v>
      </c>
      <c r="M11" s="25">
        <v>125.9</v>
      </c>
      <c r="N11" s="25">
        <v>131.1</v>
      </c>
      <c r="O11" s="25">
        <v>132.2</v>
      </c>
      <c r="P11" s="25">
        <v>136.5</v>
      </c>
      <c r="Q11" s="25">
        <v>141</v>
      </c>
      <c r="R11" s="26">
        <v>146.1</v>
      </c>
      <c r="S11" s="26">
        <v>146.7</v>
      </c>
      <c r="T11" s="26">
        <v>147.7</v>
      </c>
      <c r="U11" s="26">
        <v>148.7</v>
      </c>
    </row>
    <row r="12" spans="1:21" s="3" customFormat="1" ht="13.5">
      <c r="A12" s="12">
        <v>412</v>
      </c>
      <c r="B12" s="13" t="s">
        <v>34</v>
      </c>
      <c r="C12" s="25">
        <v>120.7</v>
      </c>
      <c r="D12" s="25">
        <v>109.5</v>
      </c>
      <c r="E12" s="25">
        <v>106.4</v>
      </c>
      <c r="F12" s="25">
        <v>84.9</v>
      </c>
      <c r="G12" s="25">
        <v>52.5</v>
      </c>
      <c r="H12" s="25">
        <v>37.6</v>
      </c>
      <c r="I12" s="25">
        <v>32.4</v>
      </c>
      <c r="J12" s="25">
        <v>31.8</v>
      </c>
      <c r="K12" s="25">
        <v>30.1</v>
      </c>
      <c r="L12" s="25">
        <v>30.2</v>
      </c>
      <c r="M12" s="25">
        <v>30.8</v>
      </c>
      <c r="N12" s="25">
        <v>30.7</v>
      </c>
      <c r="O12" s="25">
        <v>30.5</v>
      </c>
      <c r="P12" s="25">
        <v>30.6</v>
      </c>
      <c r="Q12" s="25">
        <v>31.2</v>
      </c>
      <c r="R12" s="26">
        <v>31.6</v>
      </c>
      <c r="S12" s="26">
        <v>31.9</v>
      </c>
      <c r="T12" s="26">
        <v>31.8</v>
      </c>
      <c r="U12" s="26">
        <v>30.8</v>
      </c>
    </row>
    <row r="13" spans="1:22" s="3" customFormat="1" ht="15.75">
      <c r="A13" s="12"/>
      <c r="B13" s="13" t="s">
        <v>62</v>
      </c>
      <c r="C13" s="25">
        <f>284.4-SUM(C9:C12)</f>
        <v>123.19999999999999</v>
      </c>
      <c r="D13" s="25">
        <f>268.8-SUM(D9:D12)</f>
        <v>117.5</v>
      </c>
      <c r="E13" s="25">
        <f>280.5-SUM(E9:E12)</f>
        <v>130.7</v>
      </c>
      <c r="F13" s="25">
        <f>270.3-SUM(F9:F12)</f>
        <v>11.300000000000011</v>
      </c>
      <c r="G13" s="25">
        <f>264.6-SUM(G9:G12)</f>
        <v>15.700000000000017</v>
      </c>
      <c r="H13" s="25">
        <f>277.1-SUM(H9:H12)</f>
        <v>21.80000000000004</v>
      </c>
      <c r="I13" s="25">
        <f>337.8-SUM(I9:I12)</f>
        <v>27.600000000000023</v>
      </c>
      <c r="J13" s="25">
        <f>354.1-SUM(J9:J12)</f>
        <v>27.899999999999977</v>
      </c>
      <c r="K13" s="25">
        <f>361.4-SUM(K9:K12)</f>
        <v>28.09999999999991</v>
      </c>
      <c r="L13" s="25">
        <f>379.4-SUM(L9:L12)</f>
        <v>29.19999999999999</v>
      </c>
      <c r="M13" s="25">
        <f>404-SUM(M9:M12)</f>
        <v>29.899999999999977</v>
      </c>
      <c r="N13" s="25">
        <f>419.2-SUM(N9:N12)</f>
        <v>30.799999999999955</v>
      </c>
      <c r="O13" s="25">
        <f>436.9-SUM(O9:O12)</f>
        <v>32.799999999999955</v>
      </c>
      <c r="P13" s="25">
        <f>452.4-SUM(P9:P12)</f>
        <v>33.799999999999955</v>
      </c>
      <c r="Q13" s="25">
        <f>468.5-SUM(Q9:Q12)</f>
        <v>35.80000000000001</v>
      </c>
      <c r="R13" s="26">
        <f>477.7-SUM(R9:R12)</f>
        <v>38.099999999999966</v>
      </c>
      <c r="S13" s="25">
        <v>40.3</v>
      </c>
      <c r="T13" s="25">
        <f>479.2-SUM(T9:T12)</f>
        <v>38.299999999999955</v>
      </c>
      <c r="U13" s="25">
        <v>35.3</v>
      </c>
      <c r="V13" s="6"/>
    </row>
    <row r="14" spans="1:21" s="3" customFormat="1" ht="13.5">
      <c r="A14" s="12">
        <v>40</v>
      </c>
      <c r="B14" s="13" t="s">
        <v>8</v>
      </c>
      <c r="C14" s="25">
        <v>885.3</v>
      </c>
      <c r="D14" s="25">
        <v>735.3</v>
      </c>
      <c r="E14" s="25">
        <v>633.8</v>
      </c>
      <c r="F14" s="25">
        <v>548.2</v>
      </c>
      <c r="G14" s="25">
        <v>532.1</v>
      </c>
      <c r="H14" s="25">
        <v>359</v>
      </c>
      <c r="I14" s="25">
        <v>278.6</v>
      </c>
      <c r="J14" s="25">
        <v>262</v>
      </c>
      <c r="K14" s="25">
        <v>254.3</v>
      </c>
      <c r="L14" s="25">
        <v>248.3</v>
      </c>
      <c r="M14" s="25">
        <v>240.5</v>
      </c>
      <c r="N14" s="25">
        <v>238.4</v>
      </c>
      <c r="O14" s="25">
        <v>230.9</v>
      </c>
      <c r="P14" s="25">
        <v>226.5</v>
      </c>
      <c r="Q14" s="25">
        <v>230.5</v>
      </c>
      <c r="R14" s="26">
        <v>234.5</v>
      </c>
      <c r="S14" s="26">
        <v>237.2</v>
      </c>
      <c r="T14" s="26">
        <v>233.5</v>
      </c>
      <c r="U14" s="26">
        <v>228.9</v>
      </c>
    </row>
    <row r="15" spans="1:21" s="3" customFormat="1" ht="13.5">
      <c r="A15" s="12">
        <v>44</v>
      </c>
      <c r="B15" s="13" t="s">
        <v>9</v>
      </c>
      <c r="C15" s="25" t="s">
        <v>7</v>
      </c>
      <c r="D15" s="25">
        <v>228.4</v>
      </c>
      <c r="E15" s="25">
        <v>212.3</v>
      </c>
      <c r="F15" s="25">
        <v>193.8</v>
      </c>
      <c r="G15" s="25">
        <v>211.2</v>
      </c>
      <c r="H15" s="25">
        <v>184.5</v>
      </c>
      <c r="I15" s="25">
        <v>176.6</v>
      </c>
      <c r="J15" s="25">
        <v>183.6</v>
      </c>
      <c r="K15" s="25">
        <v>173.3</v>
      </c>
      <c r="L15" s="25">
        <v>168.2</v>
      </c>
      <c r="M15" s="25">
        <v>172.4</v>
      </c>
      <c r="N15" s="25">
        <v>174.5</v>
      </c>
      <c r="O15" s="25">
        <v>174.1</v>
      </c>
      <c r="P15" s="25">
        <v>178.7</v>
      </c>
      <c r="Q15" s="25">
        <v>181.3</v>
      </c>
      <c r="R15" s="26">
        <v>185.5</v>
      </c>
      <c r="S15" s="26">
        <v>193.9</v>
      </c>
      <c r="T15" s="26">
        <v>192.4</v>
      </c>
      <c r="U15" s="26">
        <v>189.9</v>
      </c>
    </row>
    <row r="16" spans="1:21" s="3" customFormat="1" ht="13.5">
      <c r="A16" s="12">
        <v>46</v>
      </c>
      <c r="B16" s="13" t="s">
        <v>10</v>
      </c>
      <c r="C16" s="25">
        <v>23.1</v>
      </c>
      <c r="D16" s="25">
        <v>19.5</v>
      </c>
      <c r="E16" s="25">
        <v>17.6</v>
      </c>
      <c r="F16" s="25">
        <v>17.5</v>
      </c>
      <c r="G16" s="25">
        <v>21.3</v>
      </c>
      <c r="H16" s="25">
        <v>18.7</v>
      </c>
      <c r="I16" s="25">
        <v>18.5</v>
      </c>
      <c r="J16" s="25">
        <v>19</v>
      </c>
      <c r="K16" s="25">
        <v>19.2</v>
      </c>
      <c r="L16" s="25">
        <v>18.4</v>
      </c>
      <c r="M16" s="25">
        <v>17.1</v>
      </c>
      <c r="N16" s="25">
        <v>15.1</v>
      </c>
      <c r="O16" s="25">
        <v>14.5</v>
      </c>
      <c r="P16" s="25">
        <v>14.2</v>
      </c>
      <c r="Q16" s="25">
        <v>13.8</v>
      </c>
      <c r="R16" s="26">
        <v>13.4</v>
      </c>
      <c r="S16" s="26">
        <v>14</v>
      </c>
      <c r="T16" s="26">
        <v>15</v>
      </c>
      <c r="U16" s="26">
        <v>14.9</v>
      </c>
    </row>
    <row r="17" spans="1:23" s="3" customFormat="1" ht="13.5">
      <c r="A17" s="12">
        <v>492</v>
      </c>
      <c r="B17" s="13" t="s">
        <v>64</v>
      </c>
      <c r="C17" s="25">
        <v>154.8</v>
      </c>
      <c r="D17" s="25">
        <v>153.6</v>
      </c>
      <c r="E17" s="25">
        <v>161.2</v>
      </c>
      <c r="F17" s="25">
        <v>161.9</v>
      </c>
      <c r="G17" s="25">
        <v>168</v>
      </c>
      <c r="H17" s="25">
        <v>174.8</v>
      </c>
      <c r="I17" s="25">
        <v>164.7</v>
      </c>
      <c r="J17" s="25">
        <v>166.4</v>
      </c>
      <c r="K17" s="25">
        <v>163.4</v>
      </c>
      <c r="L17" s="25">
        <v>161</v>
      </c>
      <c r="M17" s="25">
        <v>159.3</v>
      </c>
      <c r="N17" s="25">
        <v>153.5</v>
      </c>
      <c r="O17" s="25">
        <v>147</v>
      </c>
      <c r="P17" s="25">
        <v>141.4</v>
      </c>
      <c r="Q17" s="25">
        <v>136.8</v>
      </c>
      <c r="R17" s="26">
        <v>133.7</v>
      </c>
      <c r="S17" s="26">
        <v>127.7</v>
      </c>
      <c r="T17" s="26">
        <v>125.7</v>
      </c>
      <c r="U17" s="26">
        <v>121.1</v>
      </c>
      <c r="V17" s="6"/>
      <c r="W17" s="6"/>
    </row>
    <row r="18" spans="1:21" s="3" customFormat="1" ht="15.75">
      <c r="A18" s="12">
        <v>47</v>
      </c>
      <c r="B18" s="13" t="s">
        <v>65</v>
      </c>
      <c r="C18" s="25" t="s">
        <v>7</v>
      </c>
      <c r="D18" s="25">
        <v>85.2</v>
      </c>
      <c r="E18" s="25">
        <v>115.4</v>
      </c>
      <c r="F18" s="25">
        <v>133.6</v>
      </c>
      <c r="G18" s="25">
        <v>197.6</v>
      </c>
      <c r="H18" s="25">
        <v>274.9</v>
      </c>
      <c r="I18" s="25">
        <v>336.1</v>
      </c>
      <c r="J18" s="25">
        <v>336.3</v>
      </c>
      <c r="K18" s="25">
        <v>338.4</v>
      </c>
      <c r="L18" s="25">
        <v>351.7</v>
      </c>
      <c r="M18" s="25">
        <v>377.9</v>
      </c>
      <c r="N18" s="25">
        <v>401.2</v>
      </c>
      <c r="O18" s="25">
        <v>418.2</v>
      </c>
      <c r="P18" s="25">
        <v>440.5</v>
      </c>
      <c r="Q18" s="25">
        <v>454</v>
      </c>
      <c r="R18" s="31">
        <v>463.3</v>
      </c>
      <c r="S18" s="31">
        <v>469.8</v>
      </c>
      <c r="T18" s="31">
        <v>462.8</v>
      </c>
      <c r="U18" s="31">
        <v>423.4</v>
      </c>
    </row>
    <row r="19" spans="1:21" s="7" customFormat="1" ht="27">
      <c r="A19" s="14"/>
      <c r="B19" s="35" t="s">
        <v>56</v>
      </c>
      <c r="C19" s="27">
        <f aca="true" t="shared" si="1" ref="C19:R19">SUM(C20:C25)</f>
        <v>1772.8999999999999</v>
      </c>
      <c r="D19" s="27">
        <f t="shared" si="1"/>
        <v>1954.8999999999999</v>
      </c>
      <c r="E19" s="27">
        <f t="shared" si="1"/>
        <v>1949</v>
      </c>
      <c r="F19" s="27">
        <f t="shared" si="1"/>
        <v>1824.1000000000001</v>
      </c>
      <c r="G19" s="27">
        <f t="shared" si="1"/>
        <v>1995.3</v>
      </c>
      <c r="H19" s="27">
        <f t="shared" si="1"/>
        <v>2053.5</v>
      </c>
      <c r="I19" s="27">
        <f t="shared" si="1"/>
        <v>2073.3</v>
      </c>
      <c r="J19" s="27">
        <f t="shared" si="1"/>
        <v>1970.6</v>
      </c>
      <c r="K19" s="27">
        <f t="shared" si="1"/>
        <v>1910.8999999999999</v>
      </c>
      <c r="L19" s="27">
        <f t="shared" si="1"/>
        <v>1837.7</v>
      </c>
      <c r="M19" s="27">
        <f t="shared" si="1"/>
        <v>1839.8</v>
      </c>
      <c r="N19" s="27">
        <f t="shared" si="1"/>
        <v>1870.4</v>
      </c>
      <c r="O19" s="27">
        <f t="shared" si="1"/>
        <v>1864.4</v>
      </c>
      <c r="P19" s="27">
        <f t="shared" si="1"/>
        <v>1922.7</v>
      </c>
      <c r="Q19" s="27">
        <f t="shared" si="1"/>
        <v>1972.5</v>
      </c>
      <c r="R19" s="27">
        <f t="shared" si="1"/>
        <v>1966.8</v>
      </c>
      <c r="S19" s="27">
        <v>1931</v>
      </c>
      <c r="T19" s="27">
        <f>SUM(T20:T25)</f>
        <v>1835.1000000000001</v>
      </c>
      <c r="U19" s="27">
        <f>SUM(U20:U25)</f>
        <v>1739.1000000000001</v>
      </c>
    </row>
    <row r="20" spans="1:21" s="3" customFormat="1" ht="13.5">
      <c r="A20" s="12">
        <v>372</v>
      </c>
      <c r="B20" s="13" t="s">
        <v>11</v>
      </c>
      <c r="C20" s="25">
        <v>604.8</v>
      </c>
      <c r="D20" s="25">
        <v>601.3</v>
      </c>
      <c r="E20" s="25">
        <v>644.1</v>
      </c>
      <c r="F20" s="25">
        <v>499.4</v>
      </c>
      <c r="G20" s="25">
        <v>633.1</v>
      </c>
      <c r="H20" s="25">
        <v>616.2</v>
      </c>
      <c r="I20" s="25">
        <v>712.3</v>
      </c>
      <c r="J20" s="25">
        <v>669.2</v>
      </c>
      <c r="K20" s="25">
        <v>611.7</v>
      </c>
      <c r="L20" s="25">
        <v>542</v>
      </c>
      <c r="M20" s="25">
        <v>481.5</v>
      </c>
      <c r="N20" s="25">
        <v>450.5</v>
      </c>
      <c r="O20" s="25">
        <v>458.1</v>
      </c>
      <c r="P20" s="25">
        <v>500.6</v>
      </c>
      <c r="Q20" s="25">
        <v>525.1</v>
      </c>
      <c r="R20" s="26">
        <v>496.3</v>
      </c>
      <c r="S20" s="26">
        <v>464.1</v>
      </c>
      <c r="T20" s="26">
        <v>460.6</v>
      </c>
      <c r="U20" s="26">
        <v>410.2</v>
      </c>
    </row>
    <row r="21" spans="1:21" s="3" customFormat="1" ht="13.5">
      <c r="A21" s="12">
        <v>371</v>
      </c>
      <c r="B21" s="13" t="s">
        <v>12</v>
      </c>
      <c r="C21" s="25">
        <v>724.1</v>
      </c>
      <c r="D21" s="25">
        <v>842.7</v>
      </c>
      <c r="E21" s="25">
        <v>799</v>
      </c>
      <c r="F21" s="25">
        <v>792.4</v>
      </c>
      <c r="G21" s="25">
        <v>788.8</v>
      </c>
      <c r="H21" s="25">
        <v>883.1</v>
      </c>
      <c r="I21" s="25">
        <v>812.1</v>
      </c>
      <c r="J21" s="25">
        <v>788.8</v>
      </c>
      <c r="K21" s="25">
        <v>812.5</v>
      </c>
      <c r="L21" s="25">
        <v>836.6</v>
      </c>
      <c r="M21" s="25">
        <v>909.3</v>
      </c>
      <c r="N21" s="25">
        <v>970.9</v>
      </c>
      <c r="O21" s="25">
        <v>966.8</v>
      </c>
      <c r="P21" s="25">
        <v>985.6</v>
      </c>
      <c r="Q21" s="25">
        <v>995.3</v>
      </c>
      <c r="R21" s="26">
        <v>1018.3</v>
      </c>
      <c r="S21" s="26">
        <v>1016.5</v>
      </c>
      <c r="T21" s="26">
        <v>947</v>
      </c>
      <c r="U21" s="26">
        <v>911.5</v>
      </c>
    </row>
    <row r="22" spans="1:21" s="3" customFormat="1" ht="13.5">
      <c r="A22" s="12">
        <v>374</v>
      </c>
      <c r="B22" s="13" t="s">
        <v>13</v>
      </c>
      <c r="C22" s="25">
        <v>43.2</v>
      </c>
      <c r="D22" s="25">
        <v>56.2</v>
      </c>
      <c r="E22" s="25">
        <v>51.1</v>
      </c>
      <c r="F22" s="25">
        <v>57.1</v>
      </c>
      <c r="G22" s="25">
        <v>70.8</v>
      </c>
      <c r="H22" s="25">
        <v>32.9</v>
      </c>
      <c r="I22" s="25">
        <v>33.1</v>
      </c>
      <c r="J22" s="25">
        <v>29.9</v>
      </c>
      <c r="K22" s="25">
        <v>28.7</v>
      </c>
      <c r="L22" s="25">
        <v>31</v>
      </c>
      <c r="M22" s="25">
        <v>35</v>
      </c>
      <c r="N22" s="25">
        <v>37.6</v>
      </c>
      <c r="O22" s="25">
        <v>35.8</v>
      </c>
      <c r="P22" s="25">
        <v>34.2</v>
      </c>
      <c r="Q22" s="25">
        <v>37.4</v>
      </c>
      <c r="R22" s="26">
        <v>37.8</v>
      </c>
      <c r="S22" s="26">
        <v>35.7</v>
      </c>
      <c r="T22" s="26">
        <v>29.8</v>
      </c>
      <c r="U22" s="26">
        <v>27.2</v>
      </c>
    </row>
    <row r="23" spans="1:21" s="3" customFormat="1" ht="13.5">
      <c r="A23" s="12">
        <v>373</v>
      </c>
      <c r="B23" s="13" t="s">
        <v>14</v>
      </c>
      <c r="C23" s="25">
        <v>141.2</v>
      </c>
      <c r="D23" s="25">
        <v>160.2</v>
      </c>
      <c r="E23" s="25">
        <v>171.8</v>
      </c>
      <c r="F23" s="25">
        <v>194.1</v>
      </c>
      <c r="G23" s="25">
        <v>220.5</v>
      </c>
      <c r="H23" s="25">
        <v>186.6</v>
      </c>
      <c r="I23" s="25">
        <v>187.7</v>
      </c>
      <c r="J23" s="25">
        <v>177.3</v>
      </c>
      <c r="K23" s="25">
        <v>169.7</v>
      </c>
      <c r="L23" s="25">
        <v>159.1</v>
      </c>
      <c r="M23" s="25">
        <v>158.2</v>
      </c>
      <c r="N23" s="25">
        <v>159.6</v>
      </c>
      <c r="O23" s="25">
        <v>158.8</v>
      </c>
      <c r="P23" s="25">
        <v>158.3</v>
      </c>
      <c r="Q23" s="25">
        <v>166.6</v>
      </c>
      <c r="R23" s="26">
        <v>167.4</v>
      </c>
      <c r="S23" s="26">
        <v>167.9</v>
      </c>
      <c r="T23" s="26">
        <v>161.1</v>
      </c>
      <c r="U23" s="26">
        <v>157.5</v>
      </c>
    </row>
    <row r="24" spans="1:21" s="3" customFormat="1" ht="13.5">
      <c r="A24" s="12">
        <v>301</v>
      </c>
      <c r="B24" s="13" t="s">
        <v>15</v>
      </c>
      <c r="C24" s="25">
        <v>104.8</v>
      </c>
      <c r="D24" s="25">
        <v>101.8</v>
      </c>
      <c r="E24" s="25">
        <v>116.1</v>
      </c>
      <c r="F24" s="25">
        <v>123.7</v>
      </c>
      <c r="G24" s="25">
        <v>114.8</v>
      </c>
      <c r="H24" s="25">
        <v>93.9</v>
      </c>
      <c r="I24" s="25">
        <v>84.4</v>
      </c>
      <c r="J24" s="25">
        <v>80.6</v>
      </c>
      <c r="K24" s="25">
        <v>81.3</v>
      </c>
      <c r="L24" s="25">
        <v>81.5</v>
      </c>
      <c r="M24" s="25">
        <v>78.7</v>
      </c>
      <c r="N24" s="25">
        <v>80.2</v>
      </c>
      <c r="O24" s="25">
        <v>79.5</v>
      </c>
      <c r="P24" s="25">
        <v>77.5</v>
      </c>
      <c r="Q24" s="25">
        <v>80</v>
      </c>
      <c r="R24" s="26">
        <v>79.2</v>
      </c>
      <c r="S24" s="26">
        <v>79.1</v>
      </c>
      <c r="T24" s="26">
        <v>75.2</v>
      </c>
      <c r="U24" s="26">
        <v>71.9</v>
      </c>
    </row>
    <row r="25" spans="1:21" s="3" customFormat="1" ht="15.75">
      <c r="A25" s="12"/>
      <c r="B25" s="13" t="s">
        <v>66</v>
      </c>
      <c r="C25" s="25">
        <f>1668.1-SUM(C20:C23)</f>
        <v>154.79999999999973</v>
      </c>
      <c r="D25" s="25">
        <f>1853.1-SUM(D20:D23)</f>
        <v>192.69999999999982</v>
      </c>
      <c r="E25" s="25">
        <f>1832.9-SUM(E20:E23)</f>
        <v>166.90000000000032</v>
      </c>
      <c r="F25" s="25">
        <f>1700.4-SUM(F20:F23)</f>
        <v>157.40000000000032</v>
      </c>
      <c r="G25" s="25">
        <f>1880.5-SUM(G20:G23)</f>
        <v>167.29999999999995</v>
      </c>
      <c r="H25" s="25">
        <f>1959.6-SUM(H20:H23)</f>
        <v>240.79999999999973</v>
      </c>
      <c r="I25" s="25">
        <f>1988.9-SUM(I20:I23)</f>
        <v>243.70000000000005</v>
      </c>
      <c r="J25" s="25">
        <f>1890-SUM(J20:J23)</f>
        <v>224.79999999999995</v>
      </c>
      <c r="K25" s="25">
        <f>1829.6-SUM(K20:K23)</f>
        <v>206.99999999999977</v>
      </c>
      <c r="L25" s="25">
        <f>1756.2-SUM(L20:L23)</f>
        <v>187.50000000000023</v>
      </c>
      <c r="M25" s="25">
        <f>1761.1-SUM(M20:M23)</f>
        <v>177.0999999999999</v>
      </c>
      <c r="N25" s="25">
        <f>1790.2-SUM(N20:N23)</f>
        <v>171.60000000000014</v>
      </c>
      <c r="O25" s="25">
        <f>1784.9-SUM(O20:O23)</f>
        <v>165.4000000000001</v>
      </c>
      <c r="P25" s="25">
        <f>1845.2-SUM(P20:P23)</f>
        <v>166.5</v>
      </c>
      <c r="Q25" s="25">
        <f>1892.5-SUM(Q20:Q23)</f>
        <v>168.0999999999999</v>
      </c>
      <c r="R25" s="25">
        <f>1887.6-SUM(R20:R23)</f>
        <v>167.79999999999995</v>
      </c>
      <c r="S25" s="31">
        <v>168</v>
      </c>
      <c r="T25" s="31">
        <f>1759.9-SUM(T20:T23)</f>
        <v>161.40000000000032</v>
      </c>
      <c r="U25" s="31">
        <f>1667.2-SUM(U20:U23)</f>
        <v>160.79999999999995</v>
      </c>
    </row>
    <row r="26" spans="1:21" s="7" customFormat="1" ht="13.5">
      <c r="A26" s="14"/>
      <c r="B26" s="11" t="s">
        <v>57</v>
      </c>
      <c r="C26" s="27">
        <f aca="true" t="shared" si="2" ref="C26:R26">SUM(C27:C33)</f>
        <v>460.7</v>
      </c>
      <c r="D26" s="27">
        <f t="shared" si="2"/>
        <v>521.9</v>
      </c>
      <c r="E26" s="27">
        <f t="shared" si="2"/>
        <v>613.3</v>
      </c>
      <c r="F26" s="27">
        <f t="shared" si="2"/>
        <v>2498.2999999999997</v>
      </c>
      <c r="G26" s="27">
        <f t="shared" si="2"/>
        <v>2693.7</v>
      </c>
      <c r="H26" s="27">
        <f t="shared" si="2"/>
        <v>3336</v>
      </c>
      <c r="I26" s="27">
        <f t="shared" si="2"/>
        <v>3671.4999999999995</v>
      </c>
      <c r="J26" s="27">
        <f t="shared" si="2"/>
        <v>3532.2</v>
      </c>
      <c r="K26" s="27">
        <f t="shared" si="2"/>
        <v>3508.2</v>
      </c>
      <c r="L26" s="27">
        <f t="shared" si="2"/>
        <v>3612.1</v>
      </c>
      <c r="M26" s="27">
        <f t="shared" si="2"/>
        <v>3782</v>
      </c>
      <c r="N26" s="27">
        <f t="shared" si="2"/>
        <v>3929.7</v>
      </c>
      <c r="O26" s="27">
        <f t="shared" si="2"/>
        <v>4085.6</v>
      </c>
      <c r="P26" s="27">
        <f t="shared" si="2"/>
        <v>4186.200000000001</v>
      </c>
      <c r="Q26" s="27">
        <f t="shared" si="2"/>
        <v>4250.6</v>
      </c>
      <c r="R26" s="27">
        <f t="shared" si="2"/>
        <v>4368.299999999999</v>
      </c>
      <c r="S26" s="27">
        <v>4442</v>
      </c>
      <c r="T26" s="27">
        <f>SUM(T27:T33)</f>
        <v>4473.099999999999</v>
      </c>
      <c r="U26" s="27">
        <f>SUM(U27:U33)</f>
        <v>4479</v>
      </c>
    </row>
    <row r="27" spans="1:21" s="3" customFormat="1" ht="13.5">
      <c r="A27" s="12">
        <v>553</v>
      </c>
      <c r="B27" s="13" t="s">
        <v>16</v>
      </c>
      <c r="C27" s="25" t="s">
        <v>6</v>
      </c>
      <c r="D27" s="25" t="s">
        <v>6</v>
      </c>
      <c r="E27" s="25" t="s">
        <v>6</v>
      </c>
      <c r="F27" s="25">
        <v>212.2</v>
      </c>
      <c r="G27" s="25">
        <v>261</v>
      </c>
      <c r="H27" s="25">
        <v>303.7</v>
      </c>
      <c r="I27" s="25">
        <v>337.1</v>
      </c>
      <c r="J27" s="25">
        <v>332.1</v>
      </c>
      <c r="K27" s="25">
        <v>332.4</v>
      </c>
      <c r="L27" s="25">
        <v>340.2</v>
      </c>
      <c r="M27" s="25">
        <v>356.8</v>
      </c>
      <c r="N27" s="25">
        <v>368.9</v>
      </c>
      <c r="O27" s="25">
        <v>380.1</v>
      </c>
      <c r="P27" s="25">
        <v>392</v>
      </c>
      <c r="Q27" s="25">
        <v>397.4</v>
      </c>
      <c r="R27" s="26">
        <v>404.3</v>
      </c>
      <c r="S27" s="26">
        <v>407.9</v>
      </c>
      <c r="T27" s="26">
        <v>410.2</v>
      </c>
      <c r="U27" s="26">
        <v>406.2</v>
      </c>
    </row>
    <row r="28" spans="1:21" s="1" customFormat="1" ht="13.5">
      <c r="A28" s="15">
        <v>75</v>
      </c>
      <c r="B28" s="13" t="s">
        <v>17</v>
      </c>
      <c r="C28" s="25" t="s">
        <v>6</v>
      </c>
      <c r="D28" s="25" t="s">
        <v>6</v>
      </c>
      <c r="E28" s="25" t="s">
        <v>6</v>
      </c>
      <c r="F28" s="25">
        <v>438.8</v>
      </c>
      <c r="G28" s="25">
        <v>570.9</v>
      </c>
      <c r="H28" s="25">
        <v>729.7</v>
      </c>
      <c r="I28" s="25">
        <v>913.7</v>
      </c>
      <c r="J28" s="25">
        <v>881.8</v>
      </c>
      <c r="K28" s="25">
        <v>881.3</v>
      </c>
      <c r="L28" s="25">
        <v>924.7</v>
      </c>
      <c r="M28" s="25">
        <v>968.3</v>
      </c>
      <c r="N28" s="25">
        <v>1020.1</v>
      </c>
      <c r="O28" s="25">
        <v>1080</v>
      </c>
      <c r="P28" s="25">
        <v>1119.6</v>
      </c>
      <c r="Q28" s="25">
        <v>1145.2</v>
      </c>
      <c r="R28" s="31">
        <v>1196.4</v>
      </c>
      <c r="S28" s="31">
        <v>1234.2</v>
      </c>
      <c r="T28" s="31">
        <v>1257.2</v>
      </c>
      <c r="U28" s="31">
        <v>1263.2</v>
      </c>
    </row>
    <row r="29" spans="1:21" s="3" customFormat="1" ht="13.5">
      <c r="A29" s="10">
        <v>554</v>
      </c>
      <c r="B29" s="13" t="s">
        <v>25</v>
      </c>
      <c r="C29" s="25">
        <v>460.7</v>
      </c>
      <c r="D29" s="25">
        <v>521.9</v>
      </c>
      <c r="E29" s="25">
        <v>613.3</v>
      </c>
      <c r="F29" s="25">
        <v>622.2</v>
      </c>
      <c r="G29" s="25">
        <v>560.8</v>
      </c>
      <c r="H29" s="25">
        <v>588.3</v>
      </c>
      <c r="I29" s="25">
        <v>647.1</v>
      </c>
      <c r="J29" s="25">
        <v>626.4</v>
      </c>
      <c r="K29" s="25">
        <v>615.7</v>
      </c>
      <c r="L29" s="25">
        <v>617.2</v>
      </c>
      <c r="M29" s="25">
        <v>633.9</v>
      </c>
      <c r="N29" s="25">
        <v>648.9</v>
      </c>
      <c r="O29" s="25">
        <v>668.9</v>
      </c>
      <c r="P29" s="25">
        <v>675.9</v>
      </c>
      <c r="Q29" s="25">
        <v>680</v>
      </c>
      <c r="R29" s="26">
        <v>660.3</v>
      </c>
      <c r="S29" s="26">
        <v>651.6</v>
      </c>
      <c r="T29" s="26">
        <v>648.3</v>
      </c>
      <c r="U29" s="26">
        <v>640.9</v>
      </c>
    </row>
    <row r="30" spans="1:21" s="3" customFormat="1" ht="13.5">
      <c r="A30" s="12">
        <v>161</v>
      </c>
      <c r="B30" s="13" t="s">
        <v>18</v>
      </c>
      <c r="C30" s="25" t="s">
        <v>6</v>
      </c>
      <c r="D30" s="25" t="s">
        <v>6</v>
      </c>
      <c r="E30" s="25" t="s">
        <v>6</v>
      </c>
      <c r="F30" s="25" t="s">
        <v>6</v>
      </c>
      <c r="G30" s="25" t="s">
        <v>6</v>
      </c>
      <c r="H30" s="25">
        <v>264</v>
      </c>
      <c r="I30" s="25">
        <v>238.7</v>
      </c>
      <c r="J30" s="25">
        <v>218.2</v>
      </c>
      <c r="K30" s="25">
        <v>214.5</v>
      </c>
      <c r="L30" s="25">
        <v>222.3</v>
      </c>
      <c r="M30" s="25">
        <v>226.1</v>
      </c>
      <c r="N30" s="25">
        <v>227.9</v>
      </c>
      <c r="O30" s="25">
        <v>236.1</v>
      </c>
      <c r="P30" s="25">
        <v>242.8</v>
      </c>
      <c r="Q30" s="25">
        <v>256.5</v>
      </c>
      <c r="R30" s="26">
        <v>280.1</v>
      </c>
      <c r="S30" s="26">
        <v>281.2</v>
      </c>
      <c r="T30" s="26">
        <v>289</v>
      </c>
      <c r="U30" s="26">
        <v>285.6</v>
      </c>
    </row>
    <row r="31" spans="1:21" s="3" customFormat="1" ht="13.5">
      <c r="A31" s="12">
        <v>501</v>
      </c>
      <c r="B31" s="13" t="s">
        <v>23</v>
      </c>
      <c r="C31" s="25" t="s">
        <v>6</v>
      </c>
      <c r="D31" s="25" t="s">
        <v>6</v>
      </c>
      <c r="E31" s="25" t="s">
        <v>6</v>
      </c>
      <c r="F31" s="25">
        <v>382.4</v>
      </c>
      <c r="G31" s="25">
        <v>434.3</v>
      </c>
      <c r="H31" s="25">
        <v>453.8</v>
      </c>
      <c r="I31" s="25">
        <v>456</v>
      </c>
      <c r="J31" s="25">
        <v>448.4</v>
      </c>
      <c r="K31" s="25">
        <v>446.1</v>
      </c>
      <c r="L31" s="25">
        <v>451.3</v>
      </c>
      <c r="M31" s="25">
        <v>471.4</v>
      </c>
      <c r="N31" s="25">
        <v>492.1</v>
      </c>
      <c r="O31" s="25">
        <v>502.8</v>
      </c>
      <c r="P31" s="25">
        <v>513</v>
      </c>
      <c r="Q31" s="25">
        <v>516.6</v>
      </c>
      <c r="R31" s="26">
        <v>523.7</v>
      </c>
      <c r="S31" s="26">
        <v>516.8</v>
      </c>
      <c r="T31" s="26">
        <v>502.1</v>
      </c>
      <c r="U31" s="26">
        <v>498</v>
      </c>
    </row>
    <row r="32" spans="1:21" s="3" customFormat="1" ht="13.5">
      <c r="A32" s="12">
        <v>551</v>
      </c>
      <c r="B32" s="13" t="s">
        <v>19</v>
      </c>
      <c r="C32" s="25" t="s">
        <v>6</v>
      </c>
      <c r="D32" s="28" t="s">
        <v>6</v>
      </c>
      <c r="E32" s="25" t="s">
        <v>6</v>
      </c>
      <c r="F32" s="25">
        <v>730.6</v>
      </c>
      <c r="G32" s="25">
        <v>745.2</v>
      </c>
      <c r="H32" s="25">
        <v>856.1</v>
      </c>
      <c r="I32" s="25">
        <v>924.3</v>
      </c>
      <c r="J32" s="25">
        <v>879.3</v>
      </c>
      <c r="K32" s="25">
        <v>875.4</v>
      </c>
      <c r="L32" s="25">
        <v>908.3</v>
      </c>
      <c r="M32" s="25">
        <v>962.5</v>
      </c>
      <c r="N32" s="25">
        <v>996</v>
      </c>
      <c r="O32" s="25">
        <v>1030.5</v>
      </c>
      <c r="P32" s="25">
        <v>1046.1</v>
      </c>
      <c r="Q32" s="25">
        <v>1047.4</v>
      </c>
      <c r="R32" s="26">
        <v>1080.1</v>
      </c>
      <c r="S32" s="26">
        <v>1111.5</v>
      </c>
      <c r="T32" s="26">
        <v>1120.5</v>
      </c>
      <c r="U32" s="26">
        <v>1129.6</v>
      </c>
    </row>
    <row r="33" spans="1:21" s="3" customFormat="1" ht="15.75">
      <c r="A33" s="12"/>
      <c r="B33" s="13" t="s">
        <v>67</v>
      </c>
      <c r="C33" s="25" t="s">
        <v>7</v>
      </c>
      <c r="D33" s="25" t="s">
        <v>7</v>
      </c>
      <c r="E33" s="25" t="s">
        <v>7</v>
      </c>
      <c r="F33" s="25">
        <f>1677.1-SUM(F27+F29+F32)</f>
        <v>112.09999999999991</v>
      </c>
      <c r="G33" s="25">
        <f>1688.5-SUM(G27+G29+G32)</f>
        <v>121.5</v>
      </c>
      <c r="H33" s="25">
        <f>1888.5-SUM(H27+H29+H32)</f>
        <v>140.4000000000001</v>
      </c>
      <c r="I33" s="25">
        <f>2063.1-SUM(I27+I29+I32)</f>
        <v>154.5999999999999</v>
      </c>
      <c r="J33" s="25">
        <f>1983.8-SUM(J27+J29+J32)</f>
        <v>146</v>
      </c>
      <c r="K33" s="25">
        <f>1966.3-SUM(K27+K29+K32)</f>
        <v>142.79999999999995</v>
      </c>
      <c r="L33" s="25">
        <f>2013.8-SUM(L27+L29+L32)</f>
        <v>148.0999999999999</v>
      </c>
      <c r="M33" s="25">
        <f>2116.2-SUM(M27+M29+M32)</f>
        <v>162.99999999999977</v>
      </c>
      <c r="N33" s="25">
        <f>2189.6-SUM(N27+N29+N32)</f>
        <v>175.79999999999995</v>
      </c>
      <c r="O33" s="25">
        <f>2266.7-SUM(O27+O29+O32)</f>
        <v>187.19999999999982</v>
      </c>
      <c r="P33" s="25">
        <f>2310.8-SUM(P27+P29+P32)</f>
        <v>196.80000000000018</v>
      </c>
      <c r="Q33" s="25">
        <f>2332.3-SUM(Q27+Q29+Q32)</f>
        <v>207.5</v>
      </c>
      <c r="R33" s="25">
        <f>2368.1-SUM(R27+R29+R32)</f>
        <v>223.4000000000001</v>
      </c>
      <c r="S33" s="25">
        <f>2409.6-SUM(S27+S29+S32)</f>
        <v>238.5999999999999</v>
      </c>
      <c r="T33" s="25">
        <f>2424.8-SUM(T27+T29+T32)</f>
        <v>245.80000000000018</v>
      </c>
      <c r="U33" s="25">
        <f>2432.2-SUM(U27+U29+U32)</f>
        <v>255.5</v>
      </c>
    </row>
    <row r="34" spans="1:21" s="7" customFormat="1" ht="15.75">
      <c r="A34" s="14"/>
      <c r="B34" s="11" t="s">
        <v>81</v>
      </c>
      <c r="C34" s="27">
        <f aca="true" t="shared" si="3" ref="C34:Q34">SUM(C35:C36)</f>
        <v>532</v>
      </c>
      <c r="D34" s="27">
        <f t="shared" si="3"/>
        <v>577</v>
      </c>
      <c r="E34" s="27">
        <f t="shared" si="3"/>
        <v>711</v>
      </c>
      <c r="F34" s="27">
        <f t="shared" si="3"/>
        <v>716</v>
      </c>
      <c r="G34" s="27">
        <f t="shared" si="3"/>
        <v>670.7909999999999</v>
      </c>
      <c r="H34" s="27">
        <f t="shared" si="3"/>
        <v>648.9929999999999</v>
      </c>
      <c r="I34" s="27">
        <f t="shared" si="3"/>
        <v>673.304</v>
      </c>
      <c r="J34" s="27">
        <f t="shared" si="3"/>
        <v>672.275</v>
      </c>
      <c r="K34" s="27">
        <f t="shared" si="3"/>
        <v>634.982</v>
      </c>
      <c r="L34" s="27">
        <f t="shared" si="3"/>
        <v>649.777</v>
      </c>
      <c r="M34" s="27">
        <f t="shared" si="3"/>
        <v>646.633</v>
      </c>
      <c r="N34" s="27">
        <f t="shared" si="3"/>
        <v>644</v>
      </c>
      <c r="O34" s="27">
        <v>99</v>
      </c>
      <c r="P34" s="27">
        <f t="shared" si="3"/>
        <v>629.242</v>
      </c>
      <c r="Q34" s="27">
        <f t="shared" si="3"/>
        <v>629.387</v>
      </c>
      <c r="R34" s="36">
        <v>643</v>
      </c>
      <c r="S34" s="36">
        <f>SUM(S35:S36)</f>
        <v>645.9680000000001</v>
      </c>
      <c r="T34" s="36">
        <f>T35+T36</f>
        <v>653.909</v>
      </c>
      <c r="U34" s="36">
        <f>U35+U36</f>
        <v>686.423</v>
      </c>
    </row>
    <row r="35" spans="1:21" s="3" customFormat="1" ht="15.75">
      <c r="A35" s="12"/>
      <c r="B35" s="13" t="s">
        <v>73</v>
      </c>
      <c r="C35" s="25" t="s">
        <v>7</v>
      </c>
      <c r="D35" s="25" t="s">
        <v>7</v>
      </c>
      <c r="E35" s="25">
        <v>104</v>
      </c>
      <c r="F35" s="25">
        <v>112</v>
      </c>
      <c r="G35" s="25">
        <v>111.791</v>
      </c>
      <c r="H35" s="25">
        <v>99.993</v>
      </c>
      <c r="I35" s="25">
        <v>104.304</v>
      </c>
      <c r="J35" s="25">
        <v>108.275</v>
      </c>
      <c r="K35" s="25">
        <v>109.982</v>
      </c>
      <c r="L35" s="25">
        <v>108.777</v>
      </c>
      <c r="M35" s="25">
        <v>102.633</v>
      </c>
      <c r="N35" s="25">
        <v>101</v>
      </c>
      <c r="O35" s="25">
        <v>99.21</v>
      </c>
      <c r="P35" s="25">
        <v>98.242</v>
      </c>
      <c r="Q35" s="25">
        <v>99.387</v>
      </c>
      <c r="R35" s="26">
        <v>99.887</v>
      </c>
      <c r="S35" s="26">
        <v>99.753</v>
      </c>
      <c r="T35" s="26">
        <v>101.909</v>
      </c>
      <c r="U35" s="26">
        <v>141.254</v>
      </c>
    </row>
    <row r="36" spans="1:21" s="3" customFormat="1" ht="16.5" thickBot="1">
      <c r="A36" s="23"/>
      <c r="B36" s="37" t="s">
        <v>76</v>
      </c>
      <c r="C36" s="38">
        <v>532</v>
      </c>
      <c r="D36" s="38">
        <v>577</v>
      </c>
      <c r="E36" s="38">
        <v>607</v>
      </c>
      <c r="F36" s="38">
        <v>604</v>
      </c>
      <c r="G36" s="38">
        <v>559</v>
      </c>
      <c r="H36" s="38">
        <v>549</v>
      </c>
      <c r="I36" s="38">
        <v>569</v>
      </c>
      <c r="J36" s="38">
        <v>564</v>
      </c>
      <c r="K36" s="38">
        <v>525</v>
      </c>
      <c r="L36" s="38">
        <v>541</v>
      </c>
      <c r="M36" s="38">
        <v>544</v>
      </c>
      <c r="N36" s="38">
        <v>543</v>
      </c>
      <c r="O36" s="38" t="s">
        <v>79</v>
      </c>
      <c r="P36" s="38">
        <v>531</v>
      </c>
      <c r="Q36" s="38">
        <v>530</v>
      </c>
      <c r="R36" s="39">
        <v>543</v>
      </c>
      <c r="S36" s="39">
        <v>546.215</v>
      </c>
      <c r="T36" s="39">
        <v>552</v>
      </c>
      <c r="U36" s="43">
        <v>545.169</v>
      </c>
    </row>
    <row r="37" spans="1:26" s="8" customFormat="1" ht="12.75">
      <c r="A37" s="53" t="s">
        <v>83</v>
      </c>
      <c r="B37" s="53"/>
      <c r="C37" s="53"/>
      <c r="D37" s="53"/>
      <c r="E37" s="53"/>
      <c r="F37" s="53"/>
      <c r="G37" s="53"/>
      <c r="H37" s="53"/>
      <c r="I37" s="53"/>
      <c r="J37" s="18"/>
      <c r="K37" s="18"/>
      <c r="L37" s="18"/>
      <c r="M37" s="18"/>
      <c r="N37" s="18"/>
      <c r="O37" s="18"/>
      <c r="P37" s="18"/>
      <c r="Q37" s="18"/>
      <c r="R37" s="2"/>
      <c r="S37" s="2"/>
      <c r="T37" s="2"/>
      <c r="U37" s="2"/>
      <c r="V37" s="2"/>
      <c r="W37" s="2"/>
      <c r="X37" s="2"/>
      <c r="Y37" s="2"/>
      <c r="Z37" s="2"/>
    </row>
    <row r="38" spans="1:21" s="3" customFormat="1" ht="11.25" customHeight="1">
      <c r="A38" s="12"/>
      <c r="B38" s="1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17" ht="12" customHeight="1">
      <c r="A39" s="52" t="s">
        <v>30</v>
      </c>
      <c r="B39" s="52"/>
      <c r="C39" s="52"/>
      <c r="D39" s="52"/>
      <c r="E39" s="52"/>
      <c r="F39" s="52"/>
      <c r="G39" s="52"/>
      <c r="H39" s="52"/>
      <c r="I39" s="52"/>
      <c r="J39" s="16"/>
      <c r="K39" s="16"/>
      <c r="L39" s="16"/>
      <c r="M39" s="16"/>
      <c r="N39" s="16"/>
      <c r="O39" s="16"/>
      <c r="P39" s="16"/>
      <c r="Q39" s="16"/>
    </row>
    <row r="40" spans="1:17" ht="12" customHeight="1">
      <c r="A40" s="52" t="s">
        <v>27</v>
      </c>
      <c r="B40" s="52"/>
      <c r="C40" s="52"/>
      <c r="D40" s="52"/>
      <c r="E40" s="52"/>
      <c r="F40" s="52"/>
      <c r="G40" s="52"/>
      <c r="H40" s="52"/>
      <c r="I40" s="52"/>
      <c r="J40" s="16"/>
      <c r="K40" s="16"/>
      <c r="L40" s="16"/>
      <c r="M40" s="16"/>
      <c r="N40" s="16"/>
      <c r="O40" s="16"/>
      <c r="P40" s="16"/>
      <c r="Q40" s="16"/>
    </row>
    <row r="41" spans="1:17" ht="12" customHeight="1">
      <c r="A41" s="52" t="s">
        <v>28</v>
      </c>
      <c r="B41" s="52"/>
      <c r="C41" s="52"/>
      <c r="D41" s="52"/>
      <c r="E41" s="52"/>
      <c r="F41" s="52"/>
      <c r="G41" s="52"/>
      <c r="H41" s="52"/>
      <c r="I41" s="52"/>
      <c r="J41" s="16"/>
      <c r="K41" s="16"/>
      <c r="L41" s="16"/>
      <c r="M41" s="16"/>
      <c r="N41" s="16"/>
      <c r="O41" s="16"/>
      <c r="P41" s="16"/>
      <c r="Q41" s="16"/>
    </row>
    <row r="42" spans="1:17" ht="12" customHeight="1">
      <c r="A42" s="52" t="s">
        <v>29</v>
      </c>
      <c r="B42" s="52"/>
      <c r="C42" s="52"/>
      <c r="D42" s="52"/>
      <c r="E42" s="52"/>
      <c r="F42" s="52"/>
      <c r="G42" s="52"/>
      <c r="H42" s="52"/>
      <c r="I42" s="52"/>
      <c r="J42" s="16"/>
      <c r="K42" s="16"/>
      <c r="L42" s="16"/>
      <c r="M42" s="16"/>
      <c r="N42" s="16"/>
      <c r="O42" s="16"/>
      <c r="P42" s="16"/>
      <c r="Q42" s="16"/>
    </row>
    <row r="43" spans="1:17" ht="24" customHeight="1">
      <c r="A43" s="48" t="s">
        <v>68</v>
      </c>
      <c r="B43" s="48"/>
      <c r="C43" s="48"/>
      <c r="D43" s="48"/>
      <c r="E43" s="48"/>
      <c r="F43" s="55"/>
      <c r="G43" s="55"/>
      <c r="H43" s="55"/>
      <c r="I43" s="55"/>
      <c r="J43" s="5"/>
      <c r="K43" s="5"/>
      <c r="L43" s="5"/>
      <c r="M43" s="5"/>
      <c r="N43" s="5"/>
      <c r="O43" s="5"/>
      <c r="P43" s="5"/>
      <c r="Q43" s="5"/>
    </row>
    <row r="44" spans="1:17" ht="12" customHeight="1">
      <c r="A44" s="52" t="s">
        <v>69</v>
      </c>
      <c r="B44" s="52"/>
      <c r="C44" s="52"/>
      <c r="D44" s="52"/>
      <c r="E44" s="52"/>
      <c r="F44" s="52"/>
      <c r="G44" s="52"/>
      <c r="H44" s="52"/>
      <c r="I44" s="52"/>
      <c r="J44" s="16"/>
      <c r="K44" s="16"/>
      <c r="L44" s="16"/>
      <c r="M44" s="5"/>
      <c r="N44" s="5"/>
      <c r="O44" s="5"/>
      <c r="P44" s="5"/>
      <c r="Q44" s="5"/>
    </row>
    <row r="45" spans="1:17" ht="12" customHeight="1">
      <c r="A45" s="52" t="s">
        <v>70</v>
      </c>
      <c r="B45" s="52"/>
      <c r="C45" s="52"/>
      <c r="D45" s="52"/>
      <c r="E45" s="52"/>
      <c r="F45" s="52"/>
      <c r="G45" s="52"/>
      <c r="H45" s="52"/>
      <c r="I45" s="52"/>
      <c r="J45" s="16"/>
      <c r="K45" s="16"/>
      <c r="L45" s="16"/>
      <c r="M45" s="5"/>
      <c r="N45" s="5"/>
      <c r="O45" s="5"/>
      <c r="P45" s="5"/>
      <c r="Q45" s="5"/>
    </row>
    <row r="46" spans="1:17" ht="12" customHeight="1">
      <c r="A46" s="52" t="s">
        <v>71</v>
      </c>
      <c r="B46" s="52"/>
      <c r="C46" s="52"/>
      <c r="D46" s="52"/>
      <c r="E46" s="52"/>
      <c r="F46" s="52"/>
      <c r="G46" s="52"/>
      <c r="H46" s="52"/>
      <c r="I46" s="52"/>
      <c r="J46" s="16"/>
      <c r="K46" s="16"/>
      <c r="L46" s="16"/>
      <c r="M46" s="16"/>
      <c r="N46" s="16"/>
      <c r="O46" s="16"/>
      <c r="P46" s="16"/>
      <c r="Q46" s="16"/>
    </row>
    <row r="47" spans="1:17" ht="24" customHeight="1">
      <c r="A47" s="48" t="s">
        <v>72</v>
      </c>
      <c r="B47" s="48"/>
      <c r="C47" s="48"/>
      <c r="D47" s="48"/>
      <c r="E47" s="48"/>
      <c r="F47" s="46"/>
      <c r="G47" s="46"/>
      <c r="H47" s="46"/>
      <c r="I47" s="46"/>
      <c r="J47" s="16"/>
      <c r="K47" s="16"/>
      <c r="L47" s="16"/>
      <c r="M47" s="16"/>
      <c r="N47" s="16"/>
      <c r="O47" s="16"/>
      <c r="P47" s="16"/>
      <c r="Q47" s="16"/>
    </row>
    <row r="48" spans="1:17" ht="24" customHeight="1">
      <c r="A48" s="48" t="s">
        <v>74</v>
      </c>
      <c r="B48" s="48"/>
      <c r="C48" s="48"/>
      <c r="D48" s="48"/>
      <c r="E48" s="48"/>
      <c r="F48" s="46"/>
      <c r="G48" s="46"/>
      <c r="H48" s="46"/>
      <c r="I48" s="46"/>
      <c r="J48" s="5"/>
      <c r="K48" s="5"/>
      <c r="L48" s="5"/>
      <c r="M48" s="16"/>
      <c r="N48" s="16"/>
      <c r="O48" s="16"/>
      <c r="P48" s="16"/>
      <c r="Q48" s="16"/>
    </row>
    <row r="49" spans="1:17" ht="24" customHeight="1">
      <c r="A49" s="48" t="s">
        <v>75</v>
      </c>
      <c r="B49" s="48"/>
      <c r="C49" s="48"/>
      <c r="D49" s="48"/>
      <c r="E49" s="48"/>
      <c r="F49" s="46"/>
      <c r="G49" s="46"/>
      <c r="H49" s="46"/>
      <c r="I49" s="46"/>
      <c r="J49" s="5"/>
      <c r="K49" s="5"/>
      <c r="L49" s="5"/>
      <c r="M49" s="16"/>
      <c r="N49" s="16"/>
      <c r="O49" s="16"/>
      <c r="P49" s="16"/>
      <c r="Q49" s="16"/>
    </row>
    <row r="50" spans="1:17" ht="12.75" customHeight="1">
      <c r="A50" s="24"/>
      <c r="B50" s="24"/>
      <c r="C50" s="24"/>
      <c r="D50" s="24"/>
      <c r="E50" s="24"/>
      <c r="F50" s="30"/>
      <c r="G50" s="30"/>
      <c r="H50" s="30"/>
      <c r="I50" s="30"/>
      <c r="J50" s="5"/>
      <c r="K50" s="5"/>
      <c r="L50" s="5"/>
      <c r="M50" s="16"/>
      <c r="N50" s="16"/>
      <c r="O50" s="16"/>
      <c r="P50" s="16"/>
      <c r="Q50" s="16"/>
    </row>
    <row r="51" spans="1:17" ht="13.5">
      <c r="A51" s="51" t="s">
        <v>59</v>
      </c>
      <c r="B51" s="46"/>
      <c r="C51" s="24"/>
      <c r="D51" s="24"/>
      <c r="E51" s="24"/>
      <c r="F51" s="30"/>
      <c r="G51" s="30"/>
      <c r="H51" s="30"/>
      <c r="I51" s="30"/>
      <c r="J51" s="5"/>
      <c r="K51" s="5"/>
      <c r="L51" s="5"/>
      <c r="M51" s="16"/>
      <c r="N51" s="16"/>
      <c r="O51" s="16"/>
      <c r="P51" s="16"/>
      <c r="Q51" s="16"/>
    </row>
    <row r="52" spans="1:17" ht="62.25" customHeight="1">
      <c r="A52" s="49" t="s">
        <v>35</v>
      </c>
      <c r="B52" s="50"/>
      <c r="C52" s="50"/>
      <c r="D52" s="50"/>
      <c r="E52" s="50"/>
      <c r="F52" s="46"/>
      <c r="G52" s="46"/>
      <c r="H52" s="46"/>
      <c r="I52" s="46"/>
      <c r="J52" s="18"/>
      <c r="K52" s="18"/>
      <c r="L52" s="18"/>
      <c r="M52" s="16"/>
      <c r="N52" s="16"/>
      <c r="O52" s="16"/>
      <c r="P52" s="16"/>
      <c r="Q52" s="16"/>
    </row>
    <row r="53" spans="1:26" s="8" customFormat="1" ht="12" customHeight="1">
      <c r="A53" s="44" t="s">
        <v>36</v>
      </c>
      <c r="B53" s="46"/>
      <c r="C53" s="46"/>
      <c r="D53" s="46"/>
      <c r="E53" s="46"/>
      <c r="F53" s="46"/>
      <c r="G53" s="46"/>
      <c r="H53" s="46"/>
      <c r="I53" s="46"/>
      <c r="J53" s="19"/>
      <c r="K53" s="19"/>
      <c r="L53" s="19"/>
      <c r="M53" s="5"/>
      <c r="N53" s="5"/>
      <c r="O53" s="5"/>
      <c r="P53" s="5"/>
      <c r="Q53" s="5"/>
      <c r="R53" s="2"/>
      <c r="S53" s="2"/>
      <c r="T53" s="2"/>
      <c r="U53" s="2"/>
      <c r="V53" s="2"/>
      <c r="W53" s="2"/>
      <c r="X53" s="2"/>
      <c r="Y53" s="2"/>
      <c r="Z53" s="2"/>
    </row>
    <row r="54" spans="1:26" s="29" customFormat="1" ht="12" customHeight="1">
      <c r="A54" s="46"/>
      <c r="B54" s="46"/>
      <c r="C54" s="46"/>
      <c r="D54" s="46"/>
      <c r="E54" s="46"/>
      <c r="F54" s="46"/>
      <c r="G54" s="46"/>
      <c r="H54" s="46"/>
      <c r="I54" s="46"/>
      <c r="J54" s="19"/>
      <c r="K54" s="19"/>
      <c r="L54" s="19"/>
      <c r="M54" s="18"/>
      <c r="N54" s="18"/>
      <c r="O54" s="18"/>
      <c r="P54" s="18"/>
      <c r="Q54" s="18"/>
      <c r="R54" s="2"/>
      <c r="S54" s="2"/>
      <c r="T54" s="2"/>
      <c r="U54" s="2"/>
      <c r="V54" s="2"/>
      <c r="W54" s="2"/>
      <c r="X54" s="2"/>
      <c r="Y54" s="2"/>
      <c r="Z54" s="2"/>
    </row>
    <row r="55" spans="1:26" s="29" customFormat="1" ht="12" customHeight="1">
      <c r="A55" s="44" t="s">
        <v>26</v>
      </c>
      <c r="B55" s="44"/>
      <c r="C55" s="44"/>
      <c r="D55" s="44"/>
      <c r="E55" s="44"/>
      <c r="F55" s="44"/>
      <c r="G55" s="44"/>
      <c r="H55" s="44"/>
      <c r="I55" s="44"/>
      <c r="J55" s="20"/>
      <c r="K55" s="20"/>
      <c r="L55" s="20"/>
      <c r="M55" s="17"/>
      <c r="N55" s="17"/>
      <c r="O55" s="17"/>
      <c r="P55" s="17"/>
      <c r="Q55" s="17"/>
      <c r="R55" s="2"/>
      <c r="S55" s="2"/>
      <c r="T55" s="2"/>
      <c r="U55" s="2"/>
      <c r="V55" s="2"/>
      <c r="W55" s="2"/>
      <c r="X55" s="2"/>
      <c r="Y55" s="2"/>
      <c r="Z55" s="2"/>
    </row>
    <row r="56" spans="1:26" s="29" customFormat="1" ht="24" customHeight="1">
      <c r="A56" s="45" t="s">
        <v>1</v>
      </c>
      <c r="B56" s="45"/>
      <c r="C56" s="45"/>
      <c r="D56" s="45"/>
      <c r="E56" s="45"/>
      <c r="F56" s="46"/>
      <c r="G56" s="46"/>
      <c r="H56" s="46"/>
      <c r="I56" s="46"/>
      <c r="J56" s="20"/>
      <c r="K56" s="20"/>
      <c r="L56" s="20"/>
      <c r="M56" s="19"/>
      <c r="N56" s="19"/>
      <c r="O56" s="19"/>
      <c r="P56" s="19"/>
      <c r="Q56" s="19"/>
      <c r="R56" s="2"/>
      <c r="S56" s="2"/>
      <c r="T56" s="2"/>
      <c r="U56" s="2"/>
      <c r="V56" s="2"/>
      <c r="W56" s="2"/>
      <c r="X56" s="2"/>
      <c r="Y56" s="2"/>
      <c r="Z56" s="2"/>
    </row>
    <row r="57" spans="1:26" s="29" customFormat="1" ht="12" customHeight="1">
      <c r="A57" s="47" t="s">
        <v>82</v>
      </c>
      <c r="B57" s="47"/>
      <c r="C57" s="47"/>
      <c r="D57" s="47"/>
      <c r="E57" s="47"/>
      <c r="F57" s="47"/>
      <c r="G57" s="47"/>
      <c r="H57" s="47"/>
      <c r="I57" s="47"/>
      <c r="J57" s="21"/>
      <c r="K57" s="21"/>
      <c r="L57" s="21"/>
      <c r="M57" s="19"/>
      <c r="N57" s="19"/>
      <c r="O57" s="19"/>
      <c r="P57" s="19"/>
      <c r="Q57" s="19"/>
      <c r="R57" s="2"/>
      <c r="S57" s="2"/>
      <c r="T57" s="2"/>
      <c r="U57" s="2"/>
      <c r="V57" s="2"/>
      <c r="W57" s="2"/>
      <c r="X57" s="2"/>
      <c r="Y57" s="2"/>
      <c r="Z57" s="2"/>
    </row>
    <row r="58" spans="1:26" s="8" customFormat="1" ht="12" customHeight="1">
      <c r="A58" s="44" t="s">
        <v>20</v>
      </c>
      <c r="B58" s="44"/>
      <c r="C58" s="44"/>
      <c r="D58" s="44"/>
      <c r="E58" s="44"/>
      <c r="F58" s="44"/>
      <c r="G58" s="44"/>
      <c r="H58" s="44"/>
      <c r="I58" s="44"/>
      <c r="J58" s="21"/>
      <c r="K58" s="21"/>
      <c r="L58" s="21"/>
      <c r="M58" s="20"/>
      <c r="N58" s="20"/>
      <c r="O58" s="20"/>
      <c r="P58" s="20"/>
      <c r="Q58" s="20"/>
      <c r="R58" s="2"/>
      <c r="S58" s="2"/>
      <c r="T58" s="2"/>
      <c r="U58" s="2"/>
      <c r="V58" s="2"/>
      <c r="W58" s="2"/>
      <c r="X58" s="2"/>
      <c r="Y58" s="2"/>
      <c r="Z58" s="2"/>
    </row>
    <row r="59" spans="1:26" s="8" customFormat="1" ht="12" customHeight="1">
      <c r="A59" s="54" t="s">
        <v>21</v>
      </c>
      <c r="B59" s="54"/>
      <c r="C59" s="54"/>
      <c r="D59" s="54"/>
      <c r="E59" s="54"/>
      <c r="F59" s="54"/>
      <c r="G59" s="54"/>
      <c r="H59" s="54"/>
      <c r="I59" s="54"/>
      <c r="J59" s="19"/>
      <c r="K59" s="19"/>
      <c r="L59" s="19"/>
      <c r="M59" s="21"/>
      <c r="N59" s="21"/>
      <c r="O59" s="21"/>
      <c r="P59" s="21"/>
      <c r="Q59" s="21"/>
      <c r="R59" s="2"/>
      <c r="S59" s="2"/>
      <c r="T59" s="2"/>
      <c r="U59" s="2"/>
      <c r="V59" s="2"/>
      <c r="W59" s="2"/>
      <c r="X59" s="2"/>
      <c r="Y59" s="2"/>
      <c r="Z59" s="2"/>
    </row>
    <row r="60" spans="1:26" s="8" customFormat="1" ht="36" customHeight="1">
      <c r="A60" s="45" t="s">
        <v>2</v>
      </c>
      <c r="B60" s="45"/>
      <c r="C60" s="45"/>
      <c r="D60" s="45"/>
      <c r="E60" s="45"/>
      <c r="F60" s="46"/>
      <c r="G60" s="46"/>
      <c r="H60" s="46"/>
      <c r="I60" s="46"/>
      <c r="J60" s="20"/>
      <c r="K60" s="20"/>
      <c r="L60" s="20"/>
      <c r="M60" s="21"/>
      <c r="N60" s="21"/>
      <c r="O60" s="21"/>
      <c r="P60" s="21"/>
      <c r="Q60" s="21"/>
      <c r="R60" s="2"/>
      <c r="S60" s="2"/>
      <c r="T60" s="2"/>
      <c r="U60" s="2"/>
      <c r="V60" s="2"/>
      <c r="W60" s="2"/>
      <c r="X60" s="2"/>
      <c r="Y60" s="2"/>
      <c r="Z60" s="2"/>
    </row>
    <row r="61" spans="1:26" s="8" customFormat="1" ht="24" customHeight="1">
      <c r="A61" s="45" t="s">
        <v>31</v>
      </c>
      <c r="B61" s="45"/>
      <c r="C61" s="45"/>
      <c r="D61" s="45"/>
      <c r="E61" s="45"/>
      <c r="F61" s="46"/>
      <c r="G61" s="46"/>
      <c r="H61" s="46"/>
      <c r="I61" s="46"/>
      <c r="J61" s="21"/>
      <c r="K61" s="21"/>
      <c r="L61" s="21"/>
      <c r="M61" s="19"/>
      <c r="N61" s="19"/>
      <c r="O61" s="19"/>
      <c r="P61" s="19"/>
      <c r="Q61" s="19"/>
      <c r="R61" s="2"/>
      <c r="S61" s="2"/>
      <c r="T61" s="2"/>
      <c r="U61" s="2"/>
      <c r="V61" s="2"/>
      <c r="W61" s="2"/>
      <c r="X61" s="2"/>
      <c r="Y61" s="2"/>
      <c r="Z61" s="2"/>
    </row>
    <row r="62" spans="1:26" s="8" customFormat="1" ht="12" customHeight="1">
      <c r="A62" s="47" t="s">
        <v>77</v>
      </c>
      <c r="B62" s="46"/>
      <c r="C62" s="46"/>
      <c r="D62" s="46"/>
      <c r="E62" s="46"/>
      <c r="F62" s="46"/>
      <c r="G62" s="46"/>
      <c r="H62" s="46"/>
      <c r="I62" s="46"/>
      <c r="J62" s="22"/>
      <c r="K62" s="22"/>
      <c r="L62" s="22"/>
      <c r="M62" s="20"/>
      <c r="N62" s="20"/>
      <c r="O62" s="20"/>
      <c r="P62" s="20"/>
      <c r="Q62" s="20"/>
      <c r="R62" s="2"/>
      <c r="S62" s="2"/>
      <c r="T62" s="2"/>
      <c r="U62" s="2"/>
      <c r="V62" s="2"/>
      <c r="W62" s="2"/>
      <c r="X62" s="2"/>
      <c r="Y62" s="2"/>
      <c r="Z62" s="2"/>
    </row>
    <row r="63" spans="1:26" s="8" customFormat="1" ht="12" customHeight="1">
      <c r="A63" s="54" t="s">
        <v>24</v>
      </c>
      <c r="B63" s="46"/>
      <c r="C63" s="46"/>
      <c r="D63" s="46"/>
      <c r="E63" s="46"/>
      <c r="F63" s="46"/>
      <c r="G63" s="46"/>
      <c r="H63" s="46"/>
      <c r="I63" s="46"/>
      <c r="J63" s="21"/>
      <c r="K63" s="21"/>
      <c r="L63" s="21"/>
      <c r="M63" s="19"/>
      <c r="N63" s="19"/>
      <c r="O63" s="19"/>
      <c r="P63" s="19"/>
      <c r="Q63" s="19"/>
      <c r="R63" s="2"/>
      <c r="S63" s="2"/>
      <c r="T63" s="2"/>
      <c r="U63" s="2"/>
      <c r="V63" s="2"/>
      <c r="W63" s="2"/>
      <c r="X63" s="2"/>
      <c r="Y63" s="2"/>
      <c r="Z63" s="2"/>
    </row>
    <row r="64" spans="1:26" s="8" customFormat="1" ht="24" customHeight="1">
      <c r="A64" s="45" t="s">
        <v>0</v>
      </c>
      <c r="B64" s="45"/>
      <c r="C64" s="45"/>
      <c r="D64" s="45"/>
      <c r="E64" s="45"/>
      <c r="F64" s="46"/>
      <c r="G64" s="46"/>
      <c r="H64" s="46"/>
      <c r="I64" s="46"/>
      <c r="J64" s="22"/>
      <c r="K64" s="22"/>
      <c r="L64" s="22"/>
      <c r="M64" s="20"/>
      <c r="N64" s="20"/>
      <c r="O64" s="20"/>
      <c r="P64" s="20"/>
      <c r="Q64" s="20"/>
      <c r="R64" s="2"/>
      <c r="S64" s="2"/>
      <c r="T64" s="2"/>
      <c r="U64" s="2"/>
      <c r="V64" s="2"/>
      <c r="W64" s="2"/>
      <c r="X64" s="2"/>
      <c r="Y64" s="2"/>
      <c r="Z64" s="2"/>
    </row>
    <row r="65" spans="1:26" s="8" customFormat="1" ht="12" customHeight="1">
      <c r="A65" s="47" t="s">
        <v>78</v>
      </c>
      <c r="B65" s="46"/>
      <c r="C65" s="46"/>
      <c r="D65" s="46"/>
      <c r="E65" s="46"/>
      <c r="F65" s="46"/>
      <c r="G65" s="46"/>
      <c r="H65" s="46"/>
      <c r="I65" s="46"/>
      <c r="J65" s="21"/>
      <c r="K65" s="21"/>
      <c r="L65" s="21"/>
      <c r="M65" s="22"/>
      <c r="N65" s="22"/>
      <c r="O65" s="22"/>
      <c r="P65" s="22"/>
      <c r="Q65" s="22"/>
      <c r="R65" s="2"/>
      <c r="S65" s="2"/>
      <c r="T65" s="2"/>
      <c r="U65" s="2"/>
      <c r="V65" s="2"/>
      <c r="W65" s="2"/>
      <c r="X65" s="2"/>
      <c r="Y65" s="2"/>
      <c r="Z65" s="2"/>
    </row>
    <row r="66" spans="1:17" ht="12.75">
      <c r="A66" s="9"/>
      <c r="H66" s="21"/>
      <c r="I66" s="21"/>
      <c r="J66" s="22"/>
      <c r="K66" s="22"/>
      <c r="L66" s="21"/>
      <c r="M66" s="21"/>
      <c r="N66" s="21"/>
      <c r="O66" s="21"/>
      <c r="P66" s="21"/>
      <c r="Q66" s="21"/>
    </row>
    <row r="67" spans="10:17" ht="12.75">
      <c r="J67" s="21"/>
      <c r="K67" s="21"/>
      <c r="L67" s="22"/>
      <c r="M67" s="22"/>
      <c r="N67" s="22"/>
      <c r="O67" s="22"/>
      <c r="P67" s="22"/>
      <c r="Q67" s="22"/>
    </row>
    <row r="68" spans="10:17" ht="12.75">
      <c r="J68" s="19"/>
      <c r="K68" s="19"/>
      <c r="L68" s="21"/>
      <c r="M68" s="21"/>
      <c r="N68" s="21"/>
      <c r="O68" s="21"/>
      <c r="P68" s="21"/>
      <c r="Q68" s="21"/>
    </row>
    <row r="69" spans="10:17" ht="12.75">
      <c r="J69" s="21"/>
      <c r="K69" s="21"/>
      <c r="L69" s="19"/>
      <c r="M69" s="21"/>
      <c r="N69" s="21"/>
      <c r="O69" s="21"/>
      <c r="P69" s="21"/>
      <c r="Q69" s="21"/>
    </row>
    <row r="70" spans="12:17" ht="12.75">
      <c r="L70" s="21"/>
      <c r="M70" s="22"/>
      <c r="N70" s="22"/>
      <c r="O70" s="22"/>
      <c r="P70" s="22"/>
      <c r="Q70" s="22"/>
    </row>
    <row r="71" spans="13:17" ht="12.75">
      <c r="M71" s="21"/>
      <c r="N71" s="21"/>
      <c r="O71" s="21"/>
      <c r="P71" s="21"/>
      <c r="Q71" s="21"/>
    </row>
    <row r="72" spans="13:17" ht="12.75">
      <c r="M72" s="21"/>
      <c r="N72" s="21"/>
      <c r="O72" s="21"/>
      <c r="P72" s="21"/>
      <c r="Q72" s="21"/>
    </row>
    <row r="73" spans="13:17" ht="12.75">
      <c r="M73" s="22"/>
      <c r="N73" s="22"/>
      <c r="O73" s="22"/>
      <c r="P73" s="22"/>
      <c r="Q73" s="22"/>
    </row>
    <row r="74" spans="13:17" ht="12.75">
      <c r="M74" s="21"/>
      <c r="N74" s="21"/>
      <c r="O74" s="21"/>
      <c r="P74" s="21"/>
      <c r="Q74" s="21"/>
    </row>
    <row r="75" spans="13:17" ht="12.75">
      <c r="M75" s="19"/>
      <c r="N75" s="19"/>
      <c r="O75" s="19"/>
      <c r="P75" s="19"/>
      <c r="Q75" s="19"/>
    </row>
    <row r="76" spans="13:17" ht="12.75">
      <c r="M76" s="21"/>
      <c r="N76" s="21"/>
      <c r="O76" s="21"/>
      <c r="P76" s="21"/>
      <c r="Q76" s="21"/>
    </row>
  </sheetData>
  <mergeCells count="27">
    <mergeCell ref="A61:I61"/>
    <mergeCell ref="A59:I59"/>
    <mergeCell ref="A60:I60"/>
    <mergeCell ref="A42:I42"/>
    <mergeCell ref="A43:I43"/>
    <mergeCell ref="A65:I65"/>
    <mergeCell ref="A62:I62"/>
    <mergeCell ref="A63:I63"/>
    <mergeCell ref="A64:I64"/>
    <mergeCell ref="A39:I39"/>
    <mergeCell ref="A40:I40"/>
    <mergeCell ref="A41:I41"/>
    <mergeCell ref="A37:I37"/>
    <mergeCell ref="A1:U1"/>
    <mergeCell ref="A44:I44"/>
    <mergeCell ref="A45:I45"/>
    <mergeCell ref="A46:I46"/>
    <mergeCell ref="A47:I47"/>
    <mergeCell ref="A48:I48"/>
    <mergeCell ref="A49:I49"/>
    <mergeCell ref="A52:I52"/>
    <mergeCell ref="A53:I54"/>
    <mergeCell ref="A51:B51"/>
    <mergeCell ref="A58:I58"/>
    <mergeCell ref="A55:I55"/>
    <mergeCell ref="A56:I56"/>
    <mergeCell ref="A57:I57"/>
  </mergeCells>
  <printOptions/>
  <pageMargins left="0.75" right="0.75" top="0.75" bottom="0.75" header="0.39" footer="0.25"/>
  <pageSetup fitToHeight="2" horizontalDpi="600" verticalDpi="600" orientation="landscape" scale="62" r:id="rId1"/>
  <headerFooter alignWithMargins="0">
    <oddFooter>&amp;L&amp;D&amp;C&amp;P of &amp;N&amp;R&amp;F</oddFooter>
  </headerFooter>
  <rowBreaks count="1" manualBreakCount="1">
    <brk id="4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2004-10-19T21:06:41Z</cp:lastPrinted>
  <dcterms:created xsi:type="dcterms:W3CDTF">1999-06-03T19:45:30Z</dcterms:created>
  <dcterms:modified xsi:type="dcterms:W3CDTF">2005-02-17T19:57:44Z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-51636471</vt:i4>
  </property>
  <property fmtid="{D5CDD505-2E9C-101B-9397-08002B2CF9AE}" pid="3" name="_EmailSubject">
    <vt:lpwstr>Gov finance tables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